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u4wh\Documents\Ptb\Pessoal\Sind\ACT\2020\"/>
    </mc:Choice>
  </mc:AlternateContent>
  <xr:revisionPtr revIDLastSave="0" documentId="13_ncr:1_{F25E182C-B6D3-4408-B7B9-97E13892CE2C}" xr6:coauthVersionLast="45" xr6:coauthVersionMax="45" xr10:uidLastSave="{00000000-0000-0000-0000-000000000000}"/>
  <bookViews>
    <workbookView xWindow="-120" yWindow="-120" windowWidth="20730" windowHeight="11160" tabRatio="931" xr2:uid="{71F3C7DC-AEDF-4EFE-B1EE-BD506CC570C4}"/>
  </bookViews>
  <sheets>
    <sheet name="Leia-me" sheetId="8" r:id="rId1"/>
    <sheet name="Principal" sheetId="6" r:id="rId2"/>
    <sheet name="Resultados" sheetId="10" r:id="rId3"/>
    <sheet name="Grande_Risco" sheetId="7" r:id="rId4"/>
    <sheet name="Pequeno_Risco" sheetId="9" r:id="rId5"/>
    <sheet name="Vigente" sheetId="5" r:id="rId6"/>
    <sheet name="Anexo_I" sheetId="1" r:id="rId7"/>
    <sheet name="Anexo_I_VHCM" sheetId="3" r:id="rId8"/>
    <sheet name="Anexo_II" sheetId="2" r:id="rId9"/>
    <sheet name="Anexo_II_VHCM_antes_mar" sheetId="4" r:id="rId10"/>
    <sheet name="Anexo_II_VHCM_depois_mar" sheetId="1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8" i="7" l="1" a="1"/>
  <c r="G8" i="7" s="1"/>
  <c r="G9" i="7" a="1"/>
  <c r="G9" i="7" s="1"/>
  <c r="G10" i="7" a="1"/>
  <c r="G10" i="7" s="1"/>
  <c r="G11" i="7" a="1"/>
  <c r="G11" i="7" s="1"/>
  <c r="G12" i="7" a="1"/>
  <c r="G12" i="7" s="1"/>
  <c r="G13" i="7" a="1"/>
  <c r="G13" i="7" s="1"/>
  <c r="G14" i="7" a="1"/>
  <c r="G14" i="7" s="1"/>
  <c r="G15" i="7" a="1"/>
  <c r="G15" i="7" s="1"/>
  <c r="G16" i="7" a="1"/>
  <c r="G16" i="7" s="1"/>
  <c r="F8" i="7" a="1"/>
  <c r="F8" i="7" s="1"/>
  <c r="F9" i="7" a="1"/>
  <c r="F9" i="7" s="1"/>
  <c r="F10" i="7" a="1"/>
  <c r="F10" i="7" s="1"/>
  <c r="F11" i="7" a="1"/>
  <c r="F11" i="7" s="1"/>
  <c r="F12" i="7" a="1"/>
  <c r="F12" i="7" s="1"/>
  <c r="F13" i="7" a="1"/>
  <c r="F13" i="7" s="1"/>
  <c r="F14" i="7" a="1"/>
  <c r="F14" i="7" s="1"/>
  <c r="F15" i="7" a="1"/>
  <c r="F15" i="7" s="1"/>
  <c r="F16" i="7" a="1"/>
  <c r="F16" i="7" s="1"/>
  <c r="D5" i="11"/>
  <c r="E5" i="11"/>
  <c r="F5" i="11"/>
  <c r="G5" i="11"/>
  <c r="H5" i="11"/>
  <c r="I5" i="11"/>
  <c r="J5" i="11"/>
  <c r="K5" i="11"/>
  <c r="L5" i="11"/>
  <c r="M5" i="11"/>
  <c r="D6" i="11"/>
  <c r="E6" i="11"/>
  <c r="F6" i="11"/>
  <c r="G6" i="11"/>
  <c r="H6" i="11"/>
  <c r="I6" i="11"/>
  <c r="J6" i="11"/>
  <c r="K6" i="11"/>
  <c r="L6" i="11"/>
  <c r="M6" i="11"/>
  <c r="D7" i="11"/>
  <c r="E7" i="11"/>
  <c r="F7" i="11"/>
  <c r="G7" i="11"/>
  <c r="H7" i="11"/>
  <c r="I7" i="11"/>
  <c r="J7" i="11"/>
  <c r="K7" i="11"/>
  <c r="L7" i="11"/>
  <c r="M7" i="11"/>
  <c r="D8" i="11"/>
  <c r="E8" i="11"/>
  <c r="F8" i="11"/>
  <c r="G8" i="11"/>
  <c r="H8" i="11"/>
  <c r="I8" i="11"/>
  <c r="J8" i="11"/>
  <c r="K8" i="11"/>
  <c r="L8" i="11"/>
  <c r="M8" i="11"/>
  <c r="D9" i="11"/>
  <c r="E9" i="11"/>
  <c r="F9" i="11"/>
  <c r="G9" i="11"/>
  <c r="H9" i="11"/>
  <c r="I9" i="11"/>
  <c r="J9" i="11"/>
  <c r="K9" i="11"/>
  <c r="L9" i="11"/>
  <c r="M9" i="11"/>
  <c r="D10" i="11"/>
  <c r="E10" i="11"/>
  <c r="F10" i="11"/>
  <c r="G10" i="11"/>
  <c r="H10" i="11"/>
  <c r="I10" i="11"/>
  <c r="J10" i="11"/>
  <c r="K10" i="11"/>
  <c r="L10" i="11"/>
  <c r="M10" i="11"/>
  <c r="D11" i="11"/>
  <c r="E11" i="11"/>
  <c r="F11" i="11"/>
  <c r="G11" i="11"/>
  <c r="H11" i="11"/>
  <c r="I11" i="11"/>
  <c r="J11" i="11"/>
  <c r="K11" i="11"/>
  <c r="L11" i="11"/>
  <c r="M11" i="11"/>
  <c r="D12" i="11"/>
  <c r="E12" i="11"/>
  <c r="F12" i="11"/>
  <c r="G12" i="11"/>
  <c r="H12" i="11"/>
  <c r="I12" i="11"/>
  <c r="J12" i="11"/>
  <c r="K12" i="11"/>
  <c r="L12" i="11"/>
  <c r="M12" i="11"/>
  <c r="D13" i="11"/>
  <c r="E13" i="11"/>
  <c r="F13" i="11"/>
  <c r="G13" i="11"/>
  <c r="H13" i="11"/>
  <c r="I13" i="11"/>
  <c r="J13" i="11"/>
  <c r="K13" i="11"/>
  <c r="L13" i="11"/>
  <c r="M13" i="11"/>
  <c r="D14" i="11"/>
  <c r="E14" i="11"/>
  <c r="F14" i="11"/>
  <c r="G14" i="11"/>
  <c r="H14" i="11"/>
  <c r="I14" i="11"/>
  <c r="J14" i="11"/>
  <c r="K14" i="11"/>
  <c r="L14" i="11"/>
  <c r="M14" i="11"/>
  <c r="D15" i="11"/>
  <c r="E15" i="11"/>
  <c r="F15" i="11"/>
  <c r="G15" i="11"/>
  <c r="H15" i="11"/>
  <c r="I15" i="11"/>
  <c r="J15" i="11"/>
  <c r="K15" i="11"/>
  <c r="L15" i="11"/>
  <c r="M15" i="11"/>
  <c r="E4" i="11"/>
  <c r="F4" i="11"/>
  <c r="G4" i="11"/>
  <c r="H4" i="11"/>
  <c r="I4" i="11"/>
  <c r="J4" i="11"/>
  <c r="K4" i="11"/>
  <c r="L4" i="11"/>
  <c r="M4" i="11"/>
  <c r="D4" i="11"/>
  <c r="P1" i="4"/>
  <c r="P1" i="11"/>
  <c r="F10" i="6" l="1"/>
  <c r="F2" i="6" s="1"/>
  <c r="F3" i="6" s="1"/>
  <c r="F4" i="6" s="1"/>
  <c r="F5" i="6" s="1"/>
  <c r="B1" i="7"/>
  <c r="L2" i="7" s="1"/>
  <c r="J24" i="7"/>
  <c r="J25" i="7"/>
  <c r="J26" i="7"/>
  <c r="J27" i="7"/>
  <c r="J17" i="7"/>
  <c r="J18" i="7"/>
  <c r="J19" i="7"/>
  <c r="J20" i="7"/>
  <c r="J21" i="7"/>
  <c r="J22" i="7"/>
  <c r="J23" i="7"/>
  <c r="J16" i="7"/>
  <c r="C26" i="6" l="1"/>
  <c r="C25" i="6"/>
  <c r="C21" i="6"/>
  <c r="L11" i="4" s="1"/>
  <c r="C20" i="6"/>
  <c r="B2" i="9"/>
  <c r="C2" i="9" s="1"/>
  <c r="B13" i="7"/>
  <c r="J5" i="7"/>
  <c r="J6" i="7"/>
  <c r="J7" i="7"/>
  <c r="J8" i="7"/>
  <c r="J9" i="7"/>
  <c r="J10" i="7"/>
  <c r="J11" i="7"/>
  <c r="J12" i="7"/>
  <c r="J13" i="7"/>
  <c r="J4" i="7"/>
  <c r="B9" i="7"/>
  <c r="B7" i="7"/>
  <c r="B8" i="7"/>
  <c r="B10" i="7"/>
  <c r="B11" i="7"/>
  <c r="B12" i="7"/>
  <c r="B14" i="7"/>
  <c r="H14" i="7" s="1"/>
  <c r="B15" i="7"/>
  <c r="B16" i="7"/>
  <c r="B6" i="7"/>
  <c r="P1" i="3"/>
  <c r="D4" i="3" s="1"/>
  <c r="H13" i="7" l="1"/>
  <c r="H11" i="7"/>
  <c r="H12" i="7"/>
  <c r="H16" i="7"/>
  <c r="H15" i="7"/>
  <c r="H10" i="7"/>
  <c r="C21" i="10"/>
  <c r="E3" i="10"/>
  <c r="C4" i="9"/>
  <c r="D3" i="10"/>
  <c r="D11" i="10" s="1"/>
  <c r="C3" i="9"/>
  <c r="D2" i="9"/>
  <c r="C3" i="10"/>
  <c r="C11" i="10" s="1"/>
  <c r="C15" i="7" a="1"/>
  <c r="C15" i="7" s="1"/>
  <c r="E15" i="7" a="1"/>
  <c r="E15" i="7" s="1"/>
  <c r="D15" i="7" a="1"/>
  <c r="D15" i="7" s="1"/>
  <c r="C11" i="7" a="1"/>
  <c r="C11" i="7" s="1"/>
  <c r="D11" i="7" a="1"/>
  <c r="D11" i="7" s="1"/>
  <c r="E11" i="7" a="1"/>
  <c r="E11" i="7" s="1"/>
  <c r="D12" i="7" a="1"/>
  <c r="D12" i="7" s="1"/>
  <c r="E12" i="7" a="1"/>
  <c r="E12" i="7" s="1"/>
  <c r="C12" i="7" a="1"/>
  <c r="C12" i="7" s="1"/>
  <c r="M12" i="3"/>
  <c r="L7" i="4"/>
  <c r="M5" i="4"/>
  <c r="M6" i="4"/>
  <c r="M7" i="4"/>
  <c r="M8" i="4"/>
  <c r="M9" i="4"/>
  <c r="M10" i="4"/>
  <c r="M11" i="4"/>
  <c r="M12" i="4"/>
  <c r="M13" i="4"/>
  <c r="M14" i="4"/>
  <c r="M15" i="4"/>
  <c r="L5" i="4"/>
  <c r="L6" i="4"/>
  <c r="L8" i="4"/>
  <c r="L9" i="4"/>
  <c r="L10" i="4"/>
  <c r="L12" i="4"/>
  <c r="L13" i="4"/>
  <c r="L14" i="4"/>
  <c r="L15" i="4"/>
  <c r="K5" i="4"/>
  <c r="K6" i="4"/>
  <c r="K7" i="4"/>
  <c r="K8" i="4"/>
  <c r="K9" i="4"/>
  <c r="K10" i="4"/>
  <c r="K11" i="4"/>
  <c r="K12" i="4"/>
  <c r="K13" i="4"/>
  <c r="K14" i="4"/>
  <c r="K15" i="4"/>
  <c r="J5" i="4"/>
  <c r="J6" i="4"/>
  <c r="J7" i="4"/>
  <c r="J8" i="4"/>
  <c r="J9" i="4"/>
  <c r="J10" i="4"/>
  <c r="J11" i="4"/>
  <c r="J12" i="4"/>
  <c r="J13" i="4"/>
  <c r="J14" i="4"/>
  <c r="J15" i="4"/>
  <c r="I5" i="4"/>
  <c r="I6" i="4"/>
  <c r="I7" i="4"/>
  <c r="I8" i="4"/>
  <c r="I9" i="4"/>
  <c r="I10" i="4"/>
  <c r="I11" i="4"/>
  <c r="I12" i="4"/>
  <c r="I13" i="4"/>
  <c r="I14" i="4"/>
  <c r="I15" i="4"/>
  <c r="H5" i="4"/>
  <c r="H6" i="4"/>
  <c r="H7" i="4"/>
  <c r="H8" i="4"/>
  <c r="H9" i="4"/>
  <c r="H10" i="4"/>
  <c r="H11" i="4"/>
  <c r="H12" i="4"/>
  <c r="H13" i="4"/>
  <c r="H14" i="4"/>
  <c r="H15" i="4"/>
  <c r="G5" i="4"/>
  <c r="G6" i="4"/>
  <c r="G7" i="4"/>
  <c r="G8" i="4"/>
  <c r="G9" i="4"/>
  <c r="G10" i="4"/>
  <c r="G11" i="4"/>
  <c r="G12" i="4"/>
  <c r="G13" i="4"/>
  <c r="G14" i="4"/>
  <c r="G15" i="4"/>
  <c r="F5" i="4"/>
  <c r="F6" i="4"/>
  <c r="F7" i="4"/>
  <c r="F8" i="4"/>
  <c r="F9" i="4"/>
  <c r="F10" i="4"/>
  <c r="F11" i="4"/>
  <c r="F12" i="4"/>
  <c r="F13" i="4"/>
  <c r="F14" i="4"/>
  <c r="F15" i="4"/>
  <c r="E5" i="4"/>
  <c r="E6" i="4"/>
  <c r="E7" i="4"/>
  <c r="E8" i="4"/>
  <c r="E9" i="4"/>
  <c r="E10" i="4"/>
  <c r="E11" i="4"/>
  <c r="E12" i="4"/>
  <c r="E13" i="4"/>
  <c r="E14" i="4"/>
  <c r="E15" i="4"/>
  <c r="E4" i="4"/>
  <c r="F4" i="4"/>
  <c r="G4" i="4"/>
  <c r="H4" i="4"/>
  <c r="I4" i="4"/>
  <c r="J4" i="4"/>
  <c r="K4" i="4"/>
  <c r="L4" i="4"/>
  <c r="M4" i="4"/>
  <c r="D5" i="4"/>
  <c r="D6" i="4"/>
  <c r="D7" i="4"/>
  <c r="D8" i="4"/>
  <c r="D9" i="4"/>
  <c r="D10" i="4"/>
  <c r="D11" i="4"/>
  <c r="D12" i="4"/>
  <c r="D13" i="4"/>
  <c r="D14" i="4"/>
  <c r="D15" i="4"/>
  <c r="D4" i="4"/>
  <c r="M5" i="3"/>
  <c r="M6" i="3"/>
  <c r="M7" i="3"/>
  <c r="M8" i="3"/>
  <c r="M9" i="3"/>
  <c r="M10" i="3"/>
  <c r="M11" i="3"/>
  <c r="M13" i="3"/>
  <c r="M14" i="3"/>
  <c r="M15" i="3"/>
  <c r="L15" i="3"/>
  <c r="L5" i="3"/>
  <c r="L6" i="3"/>
  <c r="L7" i="3"/>
  <c r="L8" i="3"/>
  <c r="L9" i="3"/>
  <c r="L10" i="3"/>
  <c r="L11" i="3"/>
  <c r="L12" i="3"/>
  <c r="L13" i="3"/>
  <c r="L14" i="3"/>
  <c r="K5" i="3"/>
  <c r="K6" i="3"/>
  <c r="K7" i="3"/>
  <c r="K8" i="3"/>
  <c r="K9" i="3"/>
  <c r="K10" i="3"/>
  <c r="K11" i="3"/>
  <c r="K12" i="3"/>
  <c r="K13" i="3"/>
  <c r="K14" i="3"/>
  <c r="K15" i="3"/>
  <c r="J5" i="3"/>
  <c r="J6" i="3"/>
  <c r="J7" i="3"/>
  <c r="J8" i="3"/>
  <c r="J9" i="3"/>
  <c r="J10" i="3"/>
  <c r="J11" i="3"/>
  <c r="J12" i="3"/>
  <c r="J13" i="3"/>
  <c r="J14" i="3"/>
  <c r="J15" i="3"/>
  <c r="I5" i="3"/>
  <c r="I6" i="3"/>
  <c r="I7" i="3"/>
  <c r="I8" i="3"/>
  <c r="I9" i="3"/>
  <c r="I10" i="3"/>
  <c r="I11" i="3"/>
  <c r="I12" i="3"/>
  <c r="I13" i="3"/>
  <c r="I14" i="3"/>
  <c r="I15" i="3"/>
  <c r="H5" i="3"/>
  <c r="H6" i="3"/>
  <c r="H7" i="3"/>
  <c r="H8" i="3"/>
  <c r="H9" i="3"/>
  <c r="H10" i="3"/>
  <c r="H11" i="3"/>
  <c r="H12" i="3"/>
  <c r="H13" i="3"/>
  <c r="H14" i="3"/>
  <c r="H15" i="3"/>
  <c r="G5" i="3"/>
  <c r="G6" i="3"/>
  <c r="G7" i="3"/>
  <c r="G8" i="3"/>
  <c r="G9" i="3"/>
  <c r="G10" i="3"/>
  <c r="G11" i="3"/>
  <c r="G12" i="3"/>
  <c r="G13" i="3"/>
  <c r="G14" i="3"/>
  <c r="G15" i="3"/>
  <c r="F5" i="3"/>
  <c r="F6" i="3"/>
  <c r="F7" i="3"/>
  <c r="F8" i="3"/>
  <c r="F9" i="3"/>
  <c r="F10" i="3"/>
  <c r="F11" i="3"/>
  <c r="F12" i="3"/>
  <c r="F13" i="3"/>
  <c r="F14" i="3"/>
  <c r="F15" i="3"/>
  <c r="E5" i="3"/>
  <c r="E6" i="3"/>
  <c r="E7" i="3"/>
  <c r="E8" i="3"/>
  <c r="E9" i="3"/>
  <c r="E10" i="3"/>
  <c r="E11" i="3"/>
  <c r="E12" i="3"/>
  <c r="E13" i="3"/>
  <c r="E14" i="3"/>
  <c r="E15" i="3"/>
  <c r="E4" i="3"/>
  <c r="F4" i="3"/>
  <c r="G4" i="3"/>
  <c r="H4" i="3"/>
  <c r="I4" i="3"/>
  <c r="J4" i="3"/>
  <c r="K4" i="3"/>
  <c r="L4" i="3"/>
  <c r="M4" i="3"/>
  <c r="D7" i="3"/>
  <c r="D5" i="3"/>
  <c r="D6" i="3"/>
  <c r="D8" i="3"/>
  <c r="D9" i="3"/>
  <c r="D10" i="3"/>
  <c r="D11" i="3"/>
  <c r="D12" i="3"/>
  <c r="D13" i="3"/>
  <c r="D14" i="3"/>
  <c r="D15" i="3"/>
  <c r="E16" i="7" a="1"/>
  <c r="C16" i="7" a="1"/>
  <c r="D16" i="7" a="1"/>
  <c r="D16" i="7" l="1"/>
  <c r="C16" i="7"/>
  <c r="E16" i="7"/>
  <c r="D21" i="10"/>
  <c r="F21" i="10"/>
  <c r="D3" i="9"/>
  <c r="G3" i="10"/>
  <c r="F3" i="10"/>
  <c r="F11" i="10" s="1"/>
  <c r="D4" i="9"/>
  <c r="L4" i="7"/>
  <c r="H8" i="7" s="1"/>
  <c r="L6" i="7"/>
  <c r="L13" i="7"/>
  <c r="L12" i="7"/>
  <c r="L11" i="7"/>
  <c r="L10" i="7"/>
  <c r="H7" i="7" s="1"/>
  <c r="L9" i="7"/>
  <c r="L8" i="7"/>
  <c r="L7" i="7"/>
  <c r="L5" i="7"/>
  <c r="C13" i="7" a="1"/>
  <c r="D8" i="7" a="1"/>
  <c r="G7" i="7" a="1"/>
  <c r="F7" i="7" a="1"/>
  <c r="F7" i="7" l="1"/>
  <c r="G7" i="7"/>
  <c r="H9" i="7"/>
  <c r="H6" i="7"/>
  <c r="C13" i="7"/>
  <c r="D8" i="7"/>
  <c r="E10" i="7" a="1"/>
  <c r="D10" i="7" a="1"/>
  <c r="C10" i="7" a="1"/>
  <c r="D13" i="7" a="1"/>
  <c r="E13" i="7" a="1"/>
  <c r="C8" i="7" a="1"/>
  <c r="E9" i="7" a="1"/>
  <c r="E8" i="7" a="1"/>
  <c r="D6" i="7" a="1"/>
  <c r="E7" i="7" a="1"/>
  <c r="F6" i="7" a="1"/>
  <c r="D7" i="7" a="1"/>
  <c r="G6" i="7" a="1"/>
  <c r="C7" i="7" a="1"/>
  <c r="G6" i="7" l="1"/>
  <c r="F6" i="7"/>
  <c r="C8" i="7"/>
  <c r="E8" i="7"/>
  <c r="D6" i="7"/>
  <c r="C7" i="7"/>
  <c r="E7" i="7"/>
  <c r="D7" i="7"/>
  <c r="C10" i="7"/>
  <c r="D10" i="7"/>
  <c r="E10" i="7"/>
  <c r="D13" i="7"/>
  <c r="E13" i="7"/>
  <c r="E9" i="7"/>
  <c r="C14" i="7" a="1"/>
  <c r="E14" i="7" a="1"/>
  <c r="D14" i="7" a="1"/>
  <c r="D9" i="7" a="1"/>
  <c r="C9" i="7" a="1"/>
  <c r="C6" i="7" a="1"/>
  <c r="E6" i="7" a="1"/>
  <c r="C6" i="7" l="1"/>
  <c r="E6" i="7"/>
  <c r="D9" i="7"/>
  <c r="C9" i="7"/>
  <c r="D14" i="7"/>
  <c r="E14" i="7"/>
  <c r="C14" i="7"/>
  <c r="F17" i="7"/>
  <c r="C17" i="7" l="1"/>
  <c r="C2" i="10" s="1"/>
  <c r="E17" i="7"/>
  <c r="E2" i="10" s="1"/>
  <c r="E4" i="10" s="1"/>
  <c r="D17" i="7"/>
  <c r="D2" i="10" s="1"/>
  <c r="G17" i="7"/>
  <c r="G2" i="10" s="1"/>
  <c r="G4" i="10" s="1"/>
  <c r="F2" i="10"/>
  <c r="C10" i="10" l="1"/>
  <c r="F10" i="10"/>
  <c r="F14" i="10" s="1"/>
  <c r="F4" i="10"/>
  <c r="D10" i="10"/>
  <c r="G19" i="7"/>
  <c r="D18" i="7"/>
  <c r="E18" i="7"/>
  <c r="C4" i="10"/>
  <c r="F18" i="7"/>
  <c r="G18" i="7"/>
  <c r="E19" i="7"/>
  <c r="D19" i="7"/>
  <c r="F19" i="7"/>
  <c r="D4" i="10"/>
  <c r="D14" i="10" l="1"/>
  <c r="F12" i="10"/>
  <c r="F22" i="10" s="1"/>
  <c r="F24" i="10" s="1"/>
  <c r="D12" i="10"/>
  <c r="C12" i="10"/>
  <c r="F6" i="10"/>
  <c r="E6" i="10"/>
  <c r="E5" i="10"/>
  <c r="G5" i="10"/>
  <c r="F5" i="10"/>
  <c r="G6" i="10"/>
  <c r="D6" i="10"/>
  <c r="D5" i="10"/>
  <c r="C22" i="10" l="1"/>
  <c r="C24" i="10" s="1"/>
  <c r="D22" i="10"/>
  <c r="D24" i="10" s="1"/>
  <c r="D15" i="10"/>
  <c r="F23" i="10"/>
  <c r="D13" i="10"/>
  <c r="F13" i="10"/>
  <c r="F15" i="10"/>
  <c r="C23" i="10" l="1"/>
  <c r="D23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<sst xmlns="http://schemas.openxmlformats.org/spreadsheetml/2006/main" count="287" uniqueCount="112">
  <si>
    <t>0-18</t>
  </si>
  <si>
    <t>19-23</t>
  </si>
  <si>
    <t>24-28</t>
  </si>
  <si>
    <t>29-33</t>
  </si>
  <si>
    <t>34-38</t>
  </si>
  <si>
    <t>39-43</t>
  </si>
  <si>
    <t>44-48</t>
  </si>
  <si>
    <t>49-53</t>
  </si>
  <si>
    <t>54-58</t>
  </si>
  <si>
    <t>&gt;59</t>
  </si>
  <si>
    <t>Coparticipação (%)</t>
  </si>
  <si>
    <t>Valores por Faixa Etária (R$)</t>
  </si>
  <si>
    <t>Faixa Salarial (R$)</t>
  </si>
  <si>
    <t>Até</t>
  </si>
  <si>
    <t>Maior que</t>
  </si>
  <si>
    <t>-</t>
  </si>
  <si>
    <t>Plano 28</t>
  </si>
  <si>
    <t>ANEXO I
Grande Risco Adequação Atuarial – 60x40
(Vigência a partir de 01.01.2021)</t>
  </si>
  <si>
    <t>ANEXO II
Projeção da Tabela de Grande Risco Adequação Atuarial – 50x50
(Vigência a partir de 01.01.2022)</t>
  </si>
  <si>
    <t>ANEXO I + VHCM estimado (Vigência a partir de 01.03.2021)</t>
  </si>
  <si>
    <t>VCHM estimado:</t>
  </si>
  <si>
    <t>ANEXO II + VHCM estimado (Vigência a partir de 01.03.2022)</t>
  </si>
  <si>
    <t>Tabela vigente da AMS
Fonte: https://ams.petrobras.com.br/portal/ams/beneficiario/grande-risco.htm</t>
  </si>
  <si>
    <t>Dependente 1</t>
  </si>
  <si>
    <t>Faixa etária</t>
  </si>
  <si>
    <t>Dependente 2</t>
  </si>
  <si>
    <t>Dependente 3</t>
  </si>
  <si>
    <t>Dependente 4</t>
  </si>
  <si>
    <t>Dependente 5</t>
  </si>
  <si>
    <t>Dependente 6</t>
  </si>
  <si>
    <t>Dependente 7</t>
  </si>
  <si>
    <t>Dependente 8</t>
  </si>
  <si>
    <t>Dependente 9</t>
  </si>
  <si>
    <t>Dependente 10</t>
  </si>
  <si>
    <t>I</t>
  </si>
  <si>
    <t>Coluna da faixa etária</t>
  </si>
  <si>
    <t>D</t>
  </si>
  <si>
    <t>E</t>
  </si>
  <si>
    <t>F</t>
  </si>
  <si>
    <t>G</t>
  </si>
  <si>
    <t>H</t>
  </si>
  <si>
    <t>J</t>
  </si>
  <si>
    <t>K</t>
  </si>
  <si>
    <t>L</t>
  </si>
  <si>
    <t>M</t>
  </si>
  <si>
    <t>Qual é a sua faixa etária?</t>
  </si>
  <si>
    <t>Faixa salarial:</t>
  </si>
  <si>
    <t>Faixa estária dos Beneficiários</t>
  </si>
  <si>
    <t>Grande Risco</t>
  </si>
  <si>
    <t>Linha da faixa salarial:</t>
  </si>
  <si>
    <t>Célula (salário x idade)</t>
  </si>
  <si>
    <t>Total pago para todos os beneficiários (R$/mês)</t>
  </si>
  <si>
    <t>01 e 02/2021
(Anexo_I)</t>
  </si>
  <si>
    <t>De 03 a 12/2021
(Anexo_I_VHCM)</t>
  </si>
  <si>
    <t>Maior do que 59</t>
  </si>
  <si>
    <t>Qual é o seu custo mensal médio com coparticipação do Pequeno Risco?</t>
  </si>
  <si>
    <t>Estimativas para o VHCM</t>
  </si>
  <si>
    <t>Sugeridas (economista Eric Dantas, do Ibeps):</t>
  </si>
  <si>
    <t>Considerar neste simulador</t>
  </si>
  <si>
    <t>Custo médio de coparticipação do Pequeno Risco (R$/mês)</t>
  </si>
  <si>
    <t>Acréscimo em relação à tabela vigente (valores percentuais)</t>
  </si>
  <si>
    <t>Acréscimo em relação à tabela vigente (valores absolutos, R$/mês)</t>
  </si>
  <si>
    <t>Acréscimo em relação ao custo atual (valores absolutos, R$/mês)</t>
  </si>
  <si>
    <t>Acréscimo em relação ao custo atual (valores percentuais)</t>
  </si>
  <si>
    <t>01 e 02/2021</t>
  </si>
  <si>
    <t>De 03 a 12/2021</t>
  </si>
  <si>
    <t xml:space="preserve">01 e 02/2022
</t>
  </si>
  <si>
    <t>De 03 a 12/2022</t>
  </si>
  <si>
    <t>Coparticipação do Pequeno Risco</t>
  </si>
  <si>
    <t>Total (Grande Risco + Pequeno Risco)</t>
  </si>
  <si>
    <t>2020
(Vigente)</t>
  </si>
  <si>
    <t>Acréscimo em relação ao custo atual (valores absolutos)</t>
  </si>
  <si>
    <t>Valores por mês (R$)</t>
  </si>
  <si>
    <t>Valores por ano (R$)</t>
  </si>
  <si>
    <t>Qual é a sua RMNR?</t>
  </si>
  <si>
    <t>Rendimentos anuais (R$)</t>
  </si>
  <si>
    <t>Valor aproximado: RMNR + 13o + Férias</t>
  </si>
  <si>
    <t>Rendimento anual</t>
  </si>
  <si>
    <t>Estimativas para o INPC</t>
  </si>
  <si>
    <t>Custos com AMS (Grande Risco + Pequeno Risco)</t>
  </si>
  <si>
    <t>Percentual do rendimento anual gasto com AMS</t>
  </si>
  <si>
    <t>Rendimento anual descontados os custos com AMS</t>
  </si>
  <si>
    <t>Custos com a AMS x Rendimento anual</t>
  </si>
  <si>
    <t>Supondo  reajuste da RMNR pelo INPC em 01/09/2022</t>
  </si>
  <si>
    <t>Reajuste 0 até 31/08/2021 e reajuste da RMNR pelo INPC em 01/09/2021</t>
  </si>
  <si>
    <t>Estimativa aproximada</t>
  </si>
  <si>
    <t>Até 1456,67</t>
  </si>
  <si>
    <t>Até 2497,15</t>
  </si>
  <si>
    <t>Até 4994,3</t>
  </si>
  <si>
    <t>Até 7491,46</t>
  </si>
  <si>
    <t>Faixa salarial (R$)</t>
  </si>
  <si>
    <t>Até 9988,61</t>
  </si>
  <si>
    <t>Até 14982,91</t>
  </si>
  <si>
    <t>Até 19977,22</t>
  </si>
  <si>
    <t>Até 23514,85</t>
  </si>
  <si>
    <t>Até 27052,48</t>
  </si>
  <si>
    <t>Até 31214,4</t>
  </si>
  <si>
    <t>Maior que 37457,28</t>
  </si>
  <si>
    <t>Faixa etária (anos)</t>
  </si>
  <si>
    <t>Linha da faixa salarial</t>
  </si>
  <si>
    <t>Até 37457,28</t>
  </si>
  <si>
    <t>Grande Risco (*)</t>
  </si>
  <si>
    <t>(*) Estimativa aproximada de rendimentos anuais (R$)</t>
  </si>
  <si>
    <t>Estimativa aproximada (*)</t>
  </si>
  <si>
    <t xml:space="preserve">(*) Incluindo a contribuição adicional em novembro, no mesmo valor da contribuição mensal fixa. </t>
  </si>
  <si>
    <t>Qual é a sua faixa salarial (RMNR) - R$?</t>
  </si>
  <si>
    <t>ANEXO II + VHCM estimado (Vigência até de 28.02.2022)</t>
  </si>
  <si>
    <t>Acréscimo em relação ao custo atual de Grande Risco (valores percentuais)</t>
  </si>
  <si>
    <t>Acréscimo em relação ao custo total atual (valores absolutos)</t>
  </si>
  <si>
    <t>Acréscimo em relação ao custo total atual (valores percentuais)</t>
  </si>
  <si>
    <t>01 e 02/2022
(Anexo_II_antes_mar)</t>
  </si>
  <si>
    <t>De 03 a 12/2022
(Anexo_II_VHCM_depois_mar)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</si>
</sst>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\ #,##0.00;[Red]\-&quot;R$&quot;\ #,##0.00"/>
    <numFmt numFmtId="164" formatCode="0.0%"/>
    <numFmt numFmtId="165" formatCode="&quot;R$&quot;\ #,##0.00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F5597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B3829"/>
        <bgColor indexed="64"/>
      </patternFill>
    </fill>
    <fill>
      <patternFill patternType="solid">
        <fgColor rgb="FFFC665A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0" fillId="3" borderId="1" xfId="0" applyFill="1" applyBorder="1" applyAlignment="1">
      <alignment horizontal="center" vertical="center"/>
    </xf>
    <xf numFmtId="4" fontId="0" fillId="2" borderId="1" xfId="0" applyNumberFormat="1" applyFill="1" applyBorder="1" applyAlignment="1">
      <alignment horizontal="center" vertical="center"/>
    </xf>
    <xf numFmtId="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/>
    </xf>
    <xf numFmtId="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Font="1" applyBorder="1"/>
    <xf numFmtId="0" fontId="0" fillId="0" borderId="0" xfId="0" applyFont="1" applyAlignment="1">
      <alignment horizontal="left" vertical="top" wrapText="1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6" borderId="0" xfId="0" applyFont="1" applyFill="1"/>
    <xf numFmtId="0" fontId="0" fillId="0" borderId="0" xfId="0" applyFont="1" applyFill="1" applyBorder="1" applyAlignment="1">
      <alignment horizontal="left"/>
    </xf>
    <xf numFmtId="0" fontId="0" fillId="0" borderId="0" xfId="0" applyFont="1" applyFill="1" applyBorder="1"/>
    <xf numFmtId="0" fontId="0" fillId="6" borderId="7" xfId="0" applyFont="1" applyFill="1" applyBorder="1" applyAlignment="1">
      <alignment horizontal="left" vertical="center"/>
    </xf>
    <xf numFmtId="0" fontId="0" fillId="6" borderId="9" xfId="0" applyFont="1" applyFill="1" applyBorder="1" applyAlignment="1">
      <alignment horizontal="left" vertical="center"/>
    </xf>
    <xf numFmtId="2" fontId="0" fillId="6" borderId="6" xfId="0" applyNumberFormat="1" applyFont="1" applyFill="1" applyBorder="1"/>
    <xf numFmtId="0" fontId="0" fillId="6" borderId="12" xfId="0" applyFont="1" applyFill="1" applyBorder="1"/>
    <xf numFmtId="0" fontId="0" fillId="6" borderId="13" xfId="0" applyFont="1" applyFill="1" applyBorder="1"/>
    <xf numFmtId="2" fontId="0" fillId="6" borderId="12" xfId="0" applyNumberFormat="1" applyFont="1" applyFill="1" applyBorder="1"/>
    <xf numFmtId="2" fontId="2" fillId="6" borderId="14" xfId="0" applyNumberFormat="1" applyFont="1" applyFill="1" applyBorder="1"/>
    <xf numFmtId="2" fontId="2" fillId="6" borderId="3" xfId="0" applyNumberFormat="1" applyFont="1" applyFill="1" applyBorder="1"/>
    <xf numFmtId="0" fontId="0" fillId="0" borderId="14" xfId="0" applyBorder="1" applyAlignment="1">
      <alignment horizontal="center" vertical="center"/>
    </xf>
    <xf numFmtId="164" fontId="0" fillId="6" borderId="10" xfId="0" applyNumberFormat="1" applyFill="1" applyBorder="1" applyAlignment="1">
      <alignment horizontal="center" vertical="center"/>
    </xf>
    <xf numFmtId="0" fontId="0" fillId="2" borderId="6" xfId="0" applyFont="1" applyFill="1" applyBorder="1"/>
    <xf numFmtId="0" fontId="0" fillId="2" borderId="4" xfId="0" applyFont="1" applyFill="1" applyBorder="1" applyAlignment="1">
      <alignment horizontal="left" vertical="top" wrapText="1"/>
    </xf>
    <xf numFmtId="0" fontId="0" fillId="2" borderId="6" xfId="0" applyFont="1" applyFill="1" applyBorder="1" applyAlignment="1">
      <alignment horizontal="left" vertical="top" wrapText="1"/>
    </xf>
    <xf numFmtId="0" fontId="0" fillId="2" borderId="8" xfId="0" applyFont="1" applyFill="1" applyBorder="1" applyAlignment="1">
      <alignment horizontal="left" vertical="top" wrapText="1"/>
    </xf>
    <xf numFmtId="0" fontId="0" fillId="2" borderId="12" xfId="0" applyFont="1" applyFill="1" applyBorder="1" applyAlignment="1">
      <alignment horizontal="left" vertical="top" wrapText="1"/>
    </xf>
    <xf numFmtId="0" fontId="0" fillId="2" borderId="12" xfId="0" applyFont="1" applyFill="1" applyBorder="1"/>
    <xf numFmtId="0" fontId="0" fillId="2" borderId="0" xfId="0" applyFont="1" applyFill="1" applyBorder="1"/>
    <xf numFmtId="0" fontId="0" fillId="2" borderId="0" xfId="0" applyFont="1" applyFill="1" applyBorder="1" applyAlignment="1">
      <alignment horizontal="left" vertical="center"/>
    </xf>
    <xf numFmtId="0" fontId="0" fillId="2" borderId="16" xfId="0" applyFont="1" applyFill="1" applyBorder="1" applyAlignment="1">
      <alignment horizontal="left" vertical="center"/>
    </xf>
    <xf numFmtId="0" fontId="0" fillId="2" borderId="7" xfId="0" applyFont="1" applyFill="1" applyBorder="1"/>
    <xf numFmtId="0" fontId="0" fillId="2" borderId="4" xfId="0" applyFont="1" applyFill="1" applyBorder="1"/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2" fontId="0" fillId="6" borderId="1" xfId="0" applyNumberFormat="1" applyFill="1" applyBorder="1" applyAlignment="1">
      <alignment horizontal="center" vertical="center"/>
    </xf>
    <xf numFmtId="0" fontId="2" fillId="0" borderId="0" xfId="0" applyFont="1" applyFill="1" applyBorder="1" applyAlignment="1">
      <alignment vertical="top" wrapText="1"/>
    </xf>
    <xf numFmtId="0" fontId="0" fillId="2" borderId="13" xfId="0" applyFont="1" applyFill="1" applyBorder="1"/>
    <xf numFmtId="0" fontId="0" fillId="6" borderId="6" xfId="0" applyFont="1" applyFill="1" applyBorder="1" applyAlignment="1">
      <alignment horizontal="left" vertical="center"/>
    </xf>
    <xf numFmtId="0" fontId="0" fillId="6" borderId="8" xfId="0" applyFont="1" applyFill="1" applyBorder="1" applyAlignment="1">
      <alignment horizontal="left" vertical="center"/>
    </xf>
    <xf numFmtId="0" fontId="0" fillId="0" borderId="0" xfId="0" applyFont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164" fontId="0" fillId="2" borderId="12" xfId="0" applyNumberFormat="1" applyFont="1" applyFill="1" applyBorder="1" applyAlignment="1">
      <alignment horizontal="left"/>
    </xf>
    <xf numFmtId="164" fontId="0" fillId="2" borderId="13" xfId="0" applyNumberFormat="1" applyFont="1" applyFill="1" applyBorder="1" applyAlignment="1">
      <alignment horizontal="left"/>
    </xf>
    <xf numFmtId="0" fontId="2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2" borderId="14" xfId="0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2" borderId="4" xfId="0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165" fontId="0" fillId="6" borderId="7" xfId="0" applyNumberForma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165" fontId="0" fillId="6" borderId="12" xfId="0" applyNumberFormat="1" applyFill="1" applyBorder="1" applyAlignment="1">
      <alignment horizontal="center" vertical="center" wrapText="1"/>
    </xf>
    <xf numFmtId="165" fontId="0" fillId="6" borderId="6" xfId="0" applyNumberFormat="1" applyFill="1" applyBorder="1" applyAlignment="1">
      <alignment horizontal="center" vertical="center" wrapText="1"/>
    </xf>
    <xf numFmtId="2" fontId="0" fillId="6" borderId="12" xfId="0" applyNumberForma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left" vertical="center" wrapText="1"/>
    </xf>
    <xf numFmtId="2" fontId="2" fillId="6" borderId="6" xfId="0" applyNumberFormat="1" applyFont="1" applyFill="1" applyBorder="1" applyAlignment="1">
      <alignment horizontal="center" vertical="center" wrapText="1"/>
    </xf>
    <xf numFmtId="2" fontId="2" fillId="9" borderId="3" xfId="0" applyNumberFormat="1" applyFont="1" applyFill="1" applyBorder="1" applyAlignment="1"/>
    <xf numFmtId="2" fontId="2" fillId="9" borderId="3" xfId="0" applyNumberFormat="1" applyFont="1" applyFill="1" applyBorder="1"/>
    <xf numFmtId="10" fontId="2" fillId="9" borderId="3" xfId="0" applyNumberFormat="1" applyFont="1" applyFill="1" applyBorder="1" applyAlignment="1"/>
    <xf numFmtId="165" fontId="2" fillId="9" borderId="3" xfId="0" applyNumberFormat="1" applyFont="1" applyFill="1" applyBorder="1" applyAlignment="1">
      <alignment horizontal="center" vertical="center" wrapText="1"/>
    </xf>
    <xf numFmtId="165" fontId="2" fillId="9" borderId="10" xfId="0" applyNumberFormat="1" applyFont="1" applyFill="1" applyBorder="1" applyAlignment="1">
      <alignment horizontal="center" vertical="center" wrapText="1"/>
    </xf>
    <xf numFmtId="10" fontId="2" fillId="9" borderId="13" xfId="0" applyNumberFormat="1" applyFont="1" applyFill="1" applyBorder="1" applyAlignment="1">
      <alignment horizontal="center" vertical="center" wrapText="1"/>
    </xf>
    <xf numFmtId="10" fontId="2" fillId="9" borderId="9" xfId="0" applyNumberFormat="1" applyFont="1" applyFill="1" applyBorder="1" applyAlignment="1">
      <alignment horizontal="center" vertical="center" wrapText="1"/>
    </xf>
    <xf numFmtId="4" fontId="0" fillId="6" borderId="4" xfId="0" applyNumberFormat="1" applyFill="1" applyBorder="1" applyAlignment="1">
      <alignment horizontal="center" vertical="center" wrapText="1"/>
    </xf>
    <xf numFmtId="4" fontId="0" fillId="6" borderId="11" xfId="0" applyNumberFormat="1" applyFill="1" applyBorder="1" applyAlignment="1">
      <alignment horizontal="center" vertical="center" wrapText="1"/>
    </xf>
    <xf numFmtId="4" fontId="0" fillId="6" borderId="15" xfId="0" applyNumberFormat="1" applyFill="1" applyBorder="1" applyAlignment="1">
      <alignment horizontal="center" vertical="center" wrapText="1"/>
    </xf>
    <xf numFmtId="4" fontId="0" fillId="6" borderId="5" xfId="0" applyNumberFormat="1" applyFill="1" applyBorder="1" applyAlignment="1">
      <alignment horizontal="center" vertical="center" wrapText="1"/>
    </xf>
    <xf numFmtId="4" fontId="0" fillId="6" borderId="8" xfId="0" applyNumberFormat="1" applyFill="1" applyBorder="1" applyAlignment="1">
      <alignment horizontal="center" vertical="center" wrapText="1"/>
    </xf>
    <xf numFmtId="4" fontId="0" fillId="6" borderId="13" xfId="0" applyNumberFormat="1" applyFill="1" applyBorder="1" applyAlignment="1">
      <alignment horizontal="center" vertical="center" wrapText="1"/>
    </xf>
    <xf numFmtId="4" fontId="0" fillId="6" borderId="16" xfId="0" applyNumberFormat="1" applyFill="1" applyBorder="1" applyAlignment="1">
      <alignment horizontal="center" vertical="center" wrapText="1"/>
    </xf>
    <xf numFmtId="4" fontId="0" fillId="6" borderId="9" xfId="0" applyNumberFormat="1" applyFill="1" applyBorder="1" applyAlignment="1">
      <alignment horizontal="center" vertical="center" wrapText="1"/>
    </xf>
    <xf numFmtId="4" fontId="2" fillId="6" borderId="6" xfId="0" applyNumberFormat="1" applyFont="1" applyFill="1" applyBorder="1" applyAlignment="1">
      <alignment horizontal="center" vertical="center" wrapText="1"/>
    </xf>
    <xf numFmtId="4" fontId="2" fillId="6" borderId="12" xfId="0" applyNumberFormat="1" applyFont="1" applyFill="1" applyBorder="1" applyAlignment="1">
      <alignment horizontal="center" vertical="center" wrapText="1"/>
    </xf>
    <xf numFmtId="4" fontId="2" fillId="6" borderId="0" xfId="0" applyNumberFormat="1" applyFont="1" applyFill="1" applyBorder="1" applyAlignment="1">
      <alignment horizontal="center" vertical="center" wrapText="1"/>
    </xf>
    <xf numFmtId="4" fontId="2" fillId="6" borderId="7" xfId="0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left" vertical="center" wrapText="1"/>
    </xf>
    <xf numFmtId="0" fontId="0" fillId="2" borderId="8" xfId="0" applyFill="1" applyBorder="1" applyAlignment="1">
      <alignment horizontal="left" vertical="center" wrapText="1"/>
    </xf>
    <xf numFmtId="4" fontId="2" fillId="9" borderId="3" xfId="0" applyNumberFormat="1" applyFont="1" applyFill="1" applyBorder="1" applyAlignment="1">
      <alignment horizontal="center" vertical="center"/>
    </xf>
    <xf numFmtId="4" fontId="2" fillId="9" borderId="3" xfId="0" applyNumberFormat="1" applyFont="1" applyFill="1" applyBorder="1" applyAlignment="1">
      <alignment horizontal="center" vertical="center" wrapText="1"/>
    </xf>
    <xf numFmtId="10" fontId="2" fillId="9" borderId="3" xfId="0" applyNumberFormat="1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8" fontId="0" fillId="6" borderId="5" xfId="0" applyNumberFormat="1" applyFill="1" applyBorder="1" applyAlignment="1">
      <alignment horizontal="center" vertical="center" wrapText="1"/>
    </xf>
    <xf numFmtId="8" fontId="0" fillId="6" borderId="10" xfId="0" applyNumberFormat="1" applyFont="1" applyFill="1" applyBorder="1" applyAlignment="1">
      <alignment horizontal="center" vertical="center" wrapText="1"/>
    </xf>
    <xf numFmtId="0" fontId="0" fillId="2" borderId="14" xfId="0" applyFont="1" applyFill="1" applyBorder="1" applyAlignment="1">
      <alignment horizontal="center" vertical="center" wrapText="1"/>
    </xf>
    <xf numFmtId="0" fontId="0" fillId="2" borderId="8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13" xfId="0" applyFont="1" applyFill="1" applyBorder="1" applyAlignment="1">
      <alignment horizontal="center" vertical="center" wrapText="1"/>
    </xf>
    <xf numFmtId="8" fontId="0" fillId="6" borderId="9" xfId="0" applyNumberFormat="1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left" vertical="center" wrapText="1"/>
    </xf>
    <xf numFmtId="10" fontId="0" fillId="9" borderId="3" xfId="0" applyNumberFormat="1" applyFill="1" applyBorder="1" applyAlignment="1">
      <alignment horizontal="center" vertical="center" wrapText="1"/>
    </xf>
    <xf numFmtId="2" fontId="0" fillId="7" borderId="13" xfId="0" applyNumberFormat="1" applyFill="1" applyBorder="1" applyAlignment="1">
      <alignment horizontal="center" vertical="center" wrapText="1"/>
    </xf>
    <xf numFmtId="0" fontId="0" fillId="5" borderId="14" xfId="0" applyFill="1" applyBorder="1" applyAlignment="1">
      <alignment horizontal="left" vertical="center" wrapText="1"/>
    </xf>
    <xf numFmtId="0" fontId="0" fillId="5" borderId="8" xfId="0" applyFill="1" applyBorder="1" applyAlignment="1">
      <alignment horizontal="left" vertical="center" wrapText="1"/>
    </xf>
    <xf numFmtId="0" fontId="0" fillId="2" borderId="14" xfId="0" applyFill="1" applyBorder="1"/>
    <xf numFmtId="8" fontId="0" fillId="6" borderId="10" xfId="0" applyNumberFormat="1" applyFill="1" applyBorder="1"/>
    <xf numFmtId="0" fontId="3" fillId="2" borderId="4" xfId="0" applyFont="1" applyFill="1" applyBorder="1"/>
    <xf numFmtId="0" fontId="0" fillId="2" borderId="5" xfId="0" applyFont="1" applyFill="1" applyBorder="1"/>
    <xf numFmtId="0" fontId="0" fillId="2" borderId="9" xfId="0" applyFont="1" applyFill="1" applyBorder="1"/>
    <xf numFmtId="0" fontId="0" fillId="10" borderId="0" xfId="0" applyFill="1" applyBorder="1"/>
    <xf numFmtId="0" fontId="0" fillId="2" borderId="14" xfId="0" applyFont="1" applyFill="1" applyBorder="1"/>
    <xf numFmtId="0" fontId="0" fillId="6" borderId="10" xfId="0" applyFont="1" applyFill="1" applyBorder="1"/>
    <xf numFmtId="4" fontId="3" fillId="6" borderId="6" xfId="0" applyNumberFormat="1" applyFont="1" applyFill="1" applyBorder="1" applyAlignment="1">
      <alignment horizontal="left" vertical="center"/>
    </xf>
    <xf numFmtId="4" fontId="3" fillId="6" borderId="8" xfId="0" applyNumberFormat="1" applyFont="1" applyFill="1" applyBorder="1" applyAlignment="1">
      <alignment horizontal="left" vertical="center"/>
    </xf>
    <xf numFmtId="4" fontId="3" fillId="0" borderId="0" xfId="0" applyNumberFormat="1" applyFont="1" applyFill="1" applyBorder="1" applyAlignment="1">
      <alignment horizontal="left" vertical="center"/>
    </xf>
    <xf numFmtId="165" fontId="0" fillId="6" borderId="3" xfId="0" applyNumberFormat="1" applyFont="1" applyFill="1" applyBorder="1"/>
    <xf numFmtId="0" fontId="2" fillId="2" borderId="14" xfId="0" applyFont="1" applyFill="1" applyBorder="1" applyAlignment="1">
      <alignment horizontal="center" vertical="center" wrapText="1"/>
    </xf>
    <xf numFmtId="2" fontId="0" fillId="6" borderId="4" xfId="0" applyNumberFormat="1" applyFill="1" applyBorder="1" applyAlignment="1">
      <alignment horizontal="center" vertical="center" wrapText="1"/>
    </xf>
    <xf numFmtId="2" fontId="0" fillId="6" borderId="8" xfId="0" applyNumberForma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8" fontId="0" fillId="4" borderId="11" xfId="0" applyNumberFormat="1" applyFont="1" applyFill="1" applyBorder="1" applyAlignment="1" applyProtection="1">
      <alignment horizontal="left" vertical="center" wrapText="1"/>
      <protection locked="0"/>
    </xf>
    <xf numFmtId="165" fontId="0" fillId="4" borderId="13" xfId="0" applyNumberFormat="1" applyFont="1" applyFill="1" applyBorder="1" applyAlignment="1" applyProtection="1">
      <alignment horizontal="left" vertical="center" wrapText="1"/>
      <protection locked="0"/>
    </xf>
    <xf numFmtId="0" fontId="0" fillId="4" borderId="12" xfId="0" applyFont="1" applyFill="1" applyBorder="1" applyAlignment="1" applyProtection="1">
      <alignment horizontal="left"/>
      <protection locked="0"/>
    </xf>
    <xf numFmtId="0" fontId="0" fillId="4" borderId="13" xfId="0" applyFont="1" applyFill="1" applyBorder="1" applyAlignment="1" applyProtection="1">
      <alignment horizontal="left"/>
      <protection locked="0"/>
    </xf>
    <xf numFmtId="164" fontId="0" fillId="4" borderId="7" xfId="0" applyNumberFormat="1" applyFont="1" applyFill="1" applyBorder="1" applyProtection="1">
      <protection locked="0"/>
    </xf>
    <xf numFmtId="164" fontId="0" fillId="4" borderId="9" xfId="0" applyNumberFormat="1" applyFont="1" applyFill="1" applyBorder="1" applyProtection="1">
      <protection locked="0"/>
    </xf>
    <xf numFmtId="0" fontId="0" fillId="10" borderId="0" xfId="0" applyFill="1" applyAlignment="1">
      <alignment vertical="top" wrapText="1"/>
    </xf>
    <xf numFmtId="0" fontId="0" fillId="10" borderId="0" xfId="0" applyFill="1" applyAlignment="1">
      <alignment vertical="top"/>
    </xf>
    <xf numFmtId="0" fontId="0" fillId="10" borderId="0" xfId="0" applyFill="1"/>
    <xf numFmtId="0" fontId="5" fillId="10" borderId="0" xfId="0" applyFont="1" applyFill="1"/>
    <xf numFmtId="0" fontId="6" fillId="10" borderId="0" xfId="0" applyFont="1" applyFill="1"/>
    <xf numFmtId="0" fontId="2" fillId="2" borderId="3" xfId="0" applyFont="1" applyFill="1" applyBorder="1" applyAlignment="1" applyProtection="1">
      <alignment horizontal="center" vertical="center"/>
      <protection locked="0"/>
    </xf>
    <xf numFmtId="8" fontId="0" fillId="4" borderId="9" xfId="0" applyNumberFormat="1" applyFont="1" applyFill="1" applyBorder="1" applyAlignment="1" applyProtection="1">
      <alignment horizontal="center" vertical="center" wrapText="1"/>
      <protection locked="0"/>
    </xf>
    <xf numFmtId="165" fontId="0" fillId="4" borderId="13" xfId="0" applyNumberFormat="1" applyFont="1" applyFill="1" applyBorder="1" applyProtection="1">
      <protection locked="0"/>
    </xf>
    <xf numFmtId="0" fontId="0" fillId="10" borderId="0" xfId="0" applyFont="1" applyFill="1"/>
    <xf numFmtId="0" fontId="0" fillId="10" borderId="11" xfId="0" applyFont="1" applyFill="1" applyBorder="1" applyAlignment="1">
      <alignment horizontal="left"/>
    </xf>
    <xf numFmtId="0" fontId="3" fillId="10" borderId="11" xfId="0" applyFont="1" applyFill="1" applyBorder="1"/>
    <xf numFmtId="4" fontId="0" fillId="10" borderId="0" xfId="0" applyNumberFormat="1" applyFont="1" applyFill="1"/>
    <xf numFmtId="0" fontId="0" fillId="10" borderId="12" xfId="0" applyFont="1" applyFill="1" applyBorder="1" applyAlignment="1">
      <alignment horizontal="left"/>
    </xf>
    <xf numFmtId="4" fontId="3" fillId="10" borderId="12" xfId="0" applyNumberFormat="1" applyFont="1" applyFill="1" applyBorder="1" applyAlignment="1">
      <alignment horizontal="left" vertical="center"/>
    </xf>
    <xf numFmtId="0" fontId="0" fillId="10" borderId="0" xfId="0" applyFont="1" applyFill="1" applyBorder="1" applyAlignment="1">
      <alignment vertical="center" wrapText="1"/>
    </xf>
    <xf numFmtId="0" fontId="3" fillId="10" borderId="0" xfId="0" applyFont="1" applyFill="1" applyAlignment="1" applyProtection="1">
      <alignment vertical="center" wrapText="1"/>
      <protection locked="0"/>
    </xf>
    <xf numFmtId="0" fontId="0" fillId="10" borderId="0" xfId="0" applyFont="1" applyFill="1" applyAlignment="1">
      <alignment vertical="center" wrapText="1"/>
    </xf>
    <xf numFmtId="0" fontId="0" fillId="10" borderId="12" xfId="0" applyFont="1" applyFill="1" applyBorder="1" applyAlignment="1">
      <alignment horizontal="left" vertical="center" wrapText="1"/>
    </xf>
    <xf numFmtId="0" fontId="0" fillId="10" borderId="0" xfId="0" applyFill="1" applyBorder="1" applyAlignment="1">
      <alignment vertical="center" wrapText="1"/>
    </xf>
    <xf numFmtId="4" fontId="0" fillId="10" borderId="0" xfId="0" applyNumberFormat="1" applyFont="1" applyFill="1" applyAlignment="1">
      <alignment vertical="center" wrapText="1"/>
    </xf>
    <xf numFmtId="0" fontId="2" fillId="10" borderId="0" xfId="0" applyFont="1" applyFill="1" applyBorder="1" applyAlignment="1">
      <alignment horizontal="center" vertical="center" wrapText="1"/>
    </xf>
    <xf numFmtId="0" fontId="2" fillId="10" borderId="0" xfId="0" applyFont="1" applyFill="1" applyBorder="1" applyAlignment="1" applyProtection="1">
      <alignment horizontal="center" vertical="center" wrapText="1"/>
      <protection locked="0"/>
    </xf>
    <xf numFmtId="0" fontId="0" fillId="10" borderId="0" xfId="0" applyFont="1" applyFill="1" applyAlignment="1">
      <alignment horizontal="center" vertical="center" wrapText="1"/>
    </xf>
    <xf numFmtId="0" fontId="0" fillId="10" borderId="0" xfId="0" applyFill="1" applyBorder="1" applyAlignment="1">
      <alignment horizontal="center" vertical="center" wrapText="1"/>
    </xf>
    <xf numFmtId="0" fontId="0" fillId="10" borderId="0" xfId="0" applyFill="1" applyAlignment="1">
      <alignment horizontal="center" vertical="center" wrapText="1"/>
    </xf>
    <xf numFmtId="0" fontId="2" fillId="10" borderId="0" xfId="0" applyFont="1" applyFill="1" applyBorder="1" applyAlignment="1">
      <alignment horizontal="center" vertical="center"/>
    </xf>
    <xf numFmtId="0" fontId="0" fillId="10" borderId="0" xfId="0" applyFont="1" applyFill="1" applyBorder="1"/>
    <xf numFmtId="0" fontId="0" fillId="10" borderId="12" xfId="0" applyFont="1" applyFill="1" applyBorder="1" applyAlignment="1">
      <alignment horizontal="left" vertical="center"/>
    </xf>
    <xf numFmtId="2" fontId="0" fillId="10" borderId="0" xfId="0" applyNumberFormat="1" applyFont="1" applyFill="1" applyBorder="1"/>
    <xf numFmtId="0" fontId="0" fillId="10" borderId="13" xfId="0" applyFont="1" applyFill="1" applyBorder="1" applyAlignment="1">
      <alignment horizontal="left" vertical="center"/>
    </xf>
    <xf numFmtId="0" fontId="0" fillId="10" borderId="0" xfId="0" applyFont="1" applyFill="1" applyBorder="1" applyAlignment="1">
      <alignment horizontal="left" vertical="center"/>
    </xf>
    <xf numFmtId="4" fontId="3" fillId="10" borderId="13" xfId="0" applyNumberFormat="1" applyFont="1" applyFill="1" applyBorder="1" applyAlignment="1">
      <alignment horizontal="left" vertical="center"/>
    </xf>
    <xf numFmtId="0" fontId="0" fillId="10" borderId="0" xfId="0" applyFont="1" applyFill="1" applyAlignment="1">
      <alignment horizontal="left"/>
    </xf>
    <xf numFmtId="0" fontId="0" fillId="10" borderId="0" xfId="0" applyFont="1" applyFill="1" applyBorder="1" applyAlignment="1">
      <alignment horizontal="left"/>
    </xf>
    <xf numFmtId="0" fontId="3" fillId="10" borderId="0" xfId="0" applyFont="1" applyFill="1" applyBorder="1"/>
    <xf numFmtId="4" fontId="3" fillId="10" borderId="0" xfId="0" applyNumberFormat="1" applyFont="1" applyFill="1" applyBorder="1" applyAlignment="1">
      <alignment horizontal="left" vertical="center"/>
    </xf>
    <xf numFmtId="0" fontId="0" fillId="10" borderId="0" xfId="0" applyFont="1" applyFill="1" applyBorder="1" applyAlignment="1">
      <alignment horizontal="center" vertical="center" wrapText="1"/>
    </xf>
    <xf numFmtId="0" fontId="0" fillId="10" borderId="0" xfId="0" applyFont="1" applyFill="1" applyBorder="1" applyAlignment="1">
      <alignment horizontal="left" vertical="center" wrapText="1"/>
    </xf>
    <xf numFmtId="0" fontId="0" fillId="10" borderId="0" xfId="0" applyFont="1" applyFill="1" applyAlignment="1">
      <alignment horizontal="left" vertical="top" wrapText="1"/>
    </xf>
    <xf numFmtId="0" fontId="0" fillId="10" borderId="0" xfId="0" applyFont="1" applyFill="1" applyBorder="1" applyAlignment="1">
      <alignment horizontal="left" vertical="top" wrapText="1"/>
    </xf>
    <xf numFmtId="0" fontId="0" fillId="10" borderId="0" xfId="0" applyFill="1" applyAlignment="1">
      <alignment horizontal="left" vertical="center" wrapText="1"/>
    </xf>
    <xf numFmtId="0" fontId="0" fillId="4" borderId="0" xfId="0" applyFill="1"/>
    <xf numFmtId="0" fontId="0" fillId="4" borderId="0" xfId="0" applyFill="1" applyAlignment="1">
      <alignment horizontal="left" vertical="center" wrapText="1"/>
    </xf>
    <xf numFmtId="0" fontId="0" fillId="4" borderId="0" xfId="0" applyFill="1" applyAlignment="1">
      <alignment horizontal="center" vertical="center" wrapText="1"/>
    </xf>
    <xf numFmtId="164" fontId="0" fillId="10" borderId="0" xfId="0" applyNumberFormat="1" applyFill="1" applyBorder="1" applyAlignment="1">
      <alignment horizontal="right" vertical="top"/>
    </xf>
    <xf numFmtId="0" fontId="2" fillId="2" borderId="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0" fontId="0" fillId="10" borderId="0" xfId="0" applyFont="1" applyFill="1" applyBorder="1" applyAlignment="1">
      <alignment horizontal="center" vertical="center"/>
    </xf>
    <xf numFmtId="0" fontId="0" fillId="10" borderId="0" xfId="0" applyFill="1" applyBorder="1" applyAlignment="1">
      <alignment horizontal="center" vertical="center" wrapText="1"/>
    </xf>
    <xf numFmtId="2" fontId="0" fillId="2" borderId="6" xfId="0" applyNumberFormat="1" applyFont="1" applyFill="1" applyBorder="1" applyAlignment="1"/>
    <xf numFmtId="2" fontId="0" fillId="2" borderId="0" xfId="0" applyNumberFormat="1" applyFont="1" applyFill="1" applyBorder="1" applyAlignment="1"/>
    <xf numFmtId="0" fontId="0" fillId="2" borderId="8" xfId="0" applyFont="1" applyFill="1" applyBorder="1" applyAlignment="1"/>
    <xf numFmtId="0" fontId="0" fillId="2" borderId="16" xfId="0" applyFont="1" applyFill="1" applyBorder="1" applyAlignment="1"/>
    <xf numFmtId="2" fontId="2" fillId="2" borderId="14" xfId="0" applyNumberFormat="1" applyFont="1" applyFill="1" applyBorder="1" applyAlignment="1">
      <alignment horizontal="center"/>
    </xf>
    <xf numFmtId="2" fontId="2" fillId="2" borderId="17" xfId="0" applyNumberFormat="1" applyFont="1" applyFill="1" applyBorder="1" applyAlignment="1">
      <alignment horizontal="center"/>
    </xf>
    <xf numFmtId="2" fontId="2" fillId="2" borderId="10" xfId="0" applyNumberFormat="1" applyFont="1" applyFill="1" applyBorder="1" applyAlignment="1">
      <alignment horizontal="center"/>
    </xf>
    <xf numFmtId="0" fontId="0" fillId="2" borderId="14" xfId="0" applyFont="1" applyFill="1" applyBorder="1" applyAlignment="1">
      <alignment horizontal="left" vertical="top" wrapText="1"/>
    </xf>
    <xf numFmtId="0" fontId="0" fillId="2" borderId="17" xfId="0" applyFont="1" applyFill="1" applyBorder="1" applyAlignment="1">
      <alignment horizontal="left" vertical="top" wrapText="1"/>
    </xf>
    <xf numFmtId="0" fontId="0" fillId="2" borderId="10" xfId="0" applyFont="1" applyFill="1" applyBorder="1" applyAlignment="1">
      <alignment horizontal="left" vertical="top" wrapText="1"/>
    </xf>
    <xf numFmtId="2" fontId="0" fillId="6" borderId="0" xfId="0" applyNumberFormat="1" applyFill="1" applyBorder="1" applyAlignment="1">
      <alignment horizontal="center" vertical="center" wrapText="1"/>
    </xf>
    <xf numFmtId="2" fontId="0" fillId="6" borderId="6" xfId="0" applyNumberFormat="1" applyFill="1" applyBorder="1" applyAlignment="1">
      <alignment horizontal="center" vertical="center" wrapText="1"/>
    </xf>
    <xf numFmtId="2" fontId="0" fillId="6" borderId="7" xfId="0" applyNumberFormat="1" applyFill="1" applyBorder="1" applyAlignment="1">
      <alignment horizontal="center" vertical="center" wrapText="1"/>
    </xf>
    <xf numFmtId="10" fontId="0" fillId="9" borderId="17" xfId="0" applyNumberFormat="1" applyFill="1" applyBorder="1" applyAlignment="1">
      <alignment horizontal="center" vertical="center" wrapText="1"/>
    </xf>
    <xf numFmtId="10" fontId="0" fillId="9" borderId="14" xfId="0" applyNumberFormat="1" applyFill="1" applyBorder="1" applyAlignment="1">
      <alignment horizontal="center" vertical="center" wrapText="1"/>
    </xf>
    <xf numFmtId="10" fontId="0" fillId="9" borderId="10" xfId="0" applyNumberFormat="1" applyFill="1" applyBorder="1" applyAlignment="1">
      <alignment horizontal="center" vertical="center" wrapText="1"/>
    </xf>
    <xf numFmtId="2" fontId="0" fillId="7" borderId="16" xfId="0" applyNumberFormat="1" applyFill="1" applyBorder="1" applyAlignment="1">
      <alignment horizontal="center" vertical="center" wrapText="1"/>
    </xf>
    <xf numFmtId="0" fontId="0" fillId="7" borderId="16" xfId="0" applyFill="1" applyBorder="1" applyAlignment="1">
      <alignment horizontal="center" vertical="center" wrapText="1"/>
    </xf>
    <xf numFmtId="2" fontId="0" fillId="7" borderId="8" xfId="0" applyNumberFormat="1" applyFill="1" applyBorder="1" applyAlignment="1">
      <alignment horizontal="center" vertical="center" wrapText="1"/>
    </xf>
    <xf numFmtId="0" fontId="0" fillId="7" borderId="9" xfId="0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2" fontId="7" fillId="6" borderId="14" xfId="0" applyNumberFormat="1" applyFont="1" applyFill="1" applyBorder="1" applyAlignment="1">
      <alignment horizontal="center" vertical="center" wrapText="1"/>
    </xf>
    <xf numFmtId="2" fontId="7" fillId="6" borderId="10" xfId="0" applyNumberFormat="1" applyFont="1" applyFill="1" applyBorder="1" applyAlignment="1">
      <alignment horizontal="center" vertical="center" wrapText="1"/>
    </xf>
    <xf numFmtId="2" fontId="2" fillId="8" borderId="14" xfId="0" applyNumberFormat="1" applyFont="1" applyFill="1" applyBorder="1" applyAlignment="1">
      <alignment horizontal="center" vertical="center"/>
    </xf>
    <xf numFmtId="2" fontId="2" fillId="8" borderId="10" xfId="0" applyNumberFormat="1" applyFont="1" applyFill="1" applyBorder="1" applyAlignment="1">
      <alignment horizontal="center" vertical="center"/>
    </xf>
    <xf numFmtId="10" fontId="2" fillId="9" borderId="14" xfId="0" applyNumberFormat="1" applyFont="1" applyFill="1" applyBorder="1" applyAlignment="1">
      <alignment horizontal="center" vertical="center"/>
    </xf>
    <xf numFmtId="10" fontId="2" fillId="9" borderId="10" xfId="0" applyNumberFormat="1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left" vertical="center" wrapText="1"/>
    </xf>
    <xf numFmtId="0" fontId="2" fillId="5" borderId="17" xfId="0" applyFont="1" applyFill="1" applyBorder="1" applyAlignment="1">
      <alignment horizontal="left" vertical="center" wrapText="1"/>
    </xf>
    <xf numFmtId="0" fontId="2" fillId="5" borderId="8" xfId="0" applyFont="1" applyFill="1" applyBorder="1" applyAlignment="1">
      <alignment horizontal="left" vertical="center" wrapText="1"/>
    </xf>
    <xf numFmtId="0" fontId="2" fillId="5" borderId="16" xfId="0" applyFont="1" applyFill="1" applyBorder="1" applyAlignment="1">
      <alignment horizontal="left" vertical="center" wrapText="1"/>
    </xf>
    <xf numFmtId="2" fontId="2" fillId="6" borderId="14" xfId="0" applyNumberFormat="1" applyFont="1" applyFill="1" applyBorder="1" applyAlignment="1">
      <alignment horizontal="center" vertical="center" wrapText="1"/>
    </xf>
    <xf numFmtId="2" fontId="2" fillId="6" borderId="10" xfId="0" applyNumberFormat="1" applyFont="1" applyFill="1" applyBorder="1" applyAlignment="1">
      <alignment horizontal="center" vertical="center" wrapText="1"/>
    </xf>
    <xf numFmtId="2" fontId="0" fillId="6" borderId="4" xfId="0" applyNumberFormat="1" applyFill="1" applyBorder="1" applyAlignment="1">
      <alignment horizontal="center" vertical="center" wrapText="1"/>
    </xf>
    <xf numFmtId="2" fontId="0" fillId="6" borderId="5" xfId="0" applyNumberFormat="1" applyFill="1" applyBorder="1" applyAlignment="1">
      <alignment horizontal="center" vertical="center" wrapText="1"/>
    </xf>
    <xf numFmtId="2" fontId="0" fillId="6" borderId="8" xfId="0" applyNumberFormat="1" applyFill="1" applyBorder="1" applyAlignment="1">
      <alignment horizontal="center" vertical="center" wrapText="1"/>
    </xf>
    <xf numFmtId="2" fontId="0" fillId="6" borderId="9" xfId="0" applyNumberForma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left" vertical="top" wrapText="1"/>
    </xf>
    <xf numFmtId="0" fontId="2" fillId="5" borderId="17" xfId="0" applyFont="1" applyFill="1" applyBorder="1" applyAlignment="1">
      <alignment horizontal="left" vertical="top" wrapText="1"/>
    </xf>
    <xf numFmtId="0" fontId="2" fillId="5" borderId="10" xfId="0" applyFont="1" applyFill="1" applyBorder="1" applyAlignment="1">
      <alignment horizontal="left" vertical="top" wrapText="1"/>
    </xf>
    <xf numFmtId="0" fontId="4" fillId="5" borderId="14" xfId="0" applyFont="1" applyFill="1" applyBorder="1" applyAlignment="1">
      <alignment horizontal="left"/>
    </xf>
    <xf numFmtId="0" fontId="4" fillId="5" borderId="10" xfId="0" applyFont="1" applyFill="1" applyBorder="1" applyAlignment="1">
      <alignment horizontal="left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B3829"/>
      <color rgb="FFFC665A"/>
      <color rgb="FFF82C4E"/>
      <color rgb="FFF945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ams.petrobras.com.br/portal/ams/beneficiario/grande-risco.htm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youtu.be/iw5EU0oRmx8" TargetMode="External"/><Relationship Id="rId4" Type="http://schemas.openxmlformats.org/officeDocument/2006/relationships/hyperlink" Target="https://ams.petrobras.com.br/portal/ams/beneficiario/serie-entendendo-custo-e-cobrancas-1.ht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83525</xdr:colOff>
      <xdr:row>0</xdr:row>
      <xdr:rowOff>94025</xdr:rowOff>
    </xdr:from>
    <xdr:to>
      <xdr:col>11</xdr:col>
      <xdr:colOff>555867</xdr:colOff>
      <xdr:row>40</xdr:row>
      <xdr:rowOff>100262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3BFBAA81-9C8A-4E26-8D63-E9E20FEF216C}"/>
            </a:ext>
          </a:extLst>
        </xdr:cNvPr>
        <xdr:cNvSpPr txBox="1"/>
      </xdr:nvSpPr>
      <xdr:spPr>
        <a:xfrm>
          <a:off x="83525" y="94025"/>
          <a:ext cx="7200000" cy="7626237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90000" tIns="46800" rtlCol="0" anchor="t"/>
        <a:lstStyle/>
        <a:p>
          <a:pPr algn="ctr"/>
          <a:endParaRPr lang="pt-BR" sz="1400" b="1"/>
        </a:p>
        <a:p>
          <a:pPr algn="ctr"/>
          <a:endParaRPr lang="pt-BR" sz="1400" b="1"/>
        </a:p>
        <a:p>
          <a:pPr algn="ctr"/>
          <a:endParaRPr lang="pt-BR" sz="1400" b="1"/>
        </a:p>
        <a:p>
          <a:pPr algn="ctr"/>
          <a:endParaRPr lang="pt-BR" sz="1400" b="1"/>
        </a:p>
        <a:p>
          <a:pPr algn="ctr"/>
          <a:r>
            <a:rPr lang="pt-BR" sz="1400" b="1"/>
            <a:t>Simulador de custos da AMS (proposta do ACT 2020)</a:t>
          </a:r>
        </a:p>
        <a:p>
          <a:endParaRPr lang="pt-BR" sz="1100"/>
        </a:p>
        <a:p>
          <a:r>
            <a:rPr lang="pt-BR" sz="1100" baseline="0"/>
            <a:t>    </a:t>
          </a:r>
          <a:r>
            <a:rPr lang="pt-BR" sz="1100"/>
            <a:t>Para utilizar o simulador, você deve preencher alguns dados na planilha "Principal". </a:t>
          </a:r>
        </a:p>
        <a:p>
          <a:r>
            <a:rPr lang="pt-BR" sz="1100" u="sng"/>
            <a:t>Atenção</a:t>
          </a:r>
          <a:r>
            <a:rPr lang="pt-BR" sz="1100"/>
            <a:t>: Preecha apenas as células em amarelo. Não altere as demais células.</a:t>
          </a:r>
        </a:p>
        <a:p>
          <a:endParaRPr lang="pt-BR" sz="1100"/>
        </a:p>
        <a:p>
          <a:r>
            <a:rPr lang="pt-BR" sz="1100"/>
            <a:t>    Ao preencher esses dados, a planilha "Resultados" exibirá uma estimativa de custos, considerando:</a:t>
          </a:r>
        </a:p>
        <a:p>
          <a:endParaRPr lang="pt-BR" sz="1100"/>
        </a:p>
        <a:p>
          <a:r>
            <a:rPr lang="pt-BR" sz="1100"/>
            <a:t>I. A tabela</a:t>
          </a:r>
          <a:r>
            <a:rPr lang="pt-BR" sz="1100" baseline="0"/>
            <a:t> atual de custeio do Grande Risco. A planilha "Vigente" foi obtida no site da AMS.</a:t>
          </a:r>
          <a:r>
            <a:rPr lang="pt-BR" sz="1100" baseline="30000"/>
            <a:t>1</a:t>
          </a:r>
        </a:p>
        <a:p>
          <a:endParaRPr lang="pt-BR" sz="1100"/>
        </a:p>
        <a:p>
          <a:r>
            <a:rPr lang="pt-BR" sz="1100"/>
            <a:t>II. A mudança na regra do custeio do Grande Risco: na proporção 60x40 a partir de 01/01/2021 e 50x50 a partir de 01/01/2022. As planillhas "Anexo_I" e "Anexo_II" foram copiadas da proposta, sendo o Anexo II uma projeção. Já as tabelas "Anexo_I_VHCM" e "Anexo_II_VHCM" projetam os valores a partir, respectivamente, de 01/03/2021 e 01/03/2022, quando as tabelas deverão ser corrigidas pelo VHCM dos últimos 12 meses. A estimativa para os valores do VHCM nos 2 anos deve ser informada na planilha "Principal" pelo usuário deste simulador, mas apresentamos uma projeção feita pelo economista Eric Dantas, do Ibeps.</a:t>
          </a:r>
          <a:r>
            <a:rPr lang="pt-BR" sz="1100" baseline="30000"/>
            <a:t>2</a:t>
          </a:r>
        </a:p>
        <a:p>
          <a:endParaRPr lang="pt-BR" sz="1100"/>
        </a:p>
        <a:p>
          <a:r>
            <a:rPr lang="pt-BR" sz="1100"/>
            <a:t>III. A mudança na regra de custeio</a:t>
          </a:r>
          <a:r>
            <a:rPr lang="pt-BR" sz="1100" baseline="0"/>
            <a:t> do Pequeno Risco: na proporção 60x40 em 2021 e 50x50 em 2022.</a:t>
          </a:r>
        </a:p>
        <a:p>
          <a:endParaRPr lang="pt-BR" sz="1100" baseline="0"/>
        </a:p>
        <a:p>
          <a:r>
            <a:rPr lang="pt-BR" sz="1100" baseline="0"/>
            <a:t>    Para ver resultados parciais, com maiores detalhes sobre os valores relativos ao Grande Risco e ao Pequeno Risco, veja as planilhas correnspondentes ("Grande_Risco" e "Pequeno_Risco", respectivamente). Foi considerada a contribuição adicional no mês de novembro, de mesmo valor da contribuição fixa mensal, nos cálculos do custeio do Grade Risco.</a:t>
          </a:r>
        </a:p>
        <a:p>
          <a:endParaRPr lang="pt-BR" sz="1100" baseline="0"/>
        </a:p>
        <a:p>
          <a:r>
            <a:rPr lang="pt-BR" sz="1100" u="sng" baseline="0"/>
            <a:t>Atenção</a:t>
          </a:r>
          <a:r>
            <a:rPr lang="pt-BR" sz="1100" baseline="0"/>
            <a:t>: Neste simulador não foi considerada uma alteração importante da proposta, que é a mudança do valor da margem consignável  (limite para cobrança mensal do plano) de 13% para 30% dos proventos líquidos do titular.</a:t>
          </a:r>
          <a:r>
            <a:rPr lang="pt-BR" sz="1100" baseline="30000"/>
            <a:t>3</a:t>
          </a:r>
          <a:endParaRPr lang="pt-BR" sz="1100" baseline="0"/>
        </a:p>
        <a:p>
          <a:endParaRPr lang="pt-BR" sz="1100" baseline="0"/>
        </a:p>
        <a:p>
          <a:r>
            <a:rPr lang="pt-BR" sz="1100" baseline="0"/>
            <a:t>    A planilha "Resultados" exibe também uma comparação entre os custos com a AMS e os rendimentos anuais. Para o reajuste dos rendimentos em 2021, foi utilizada a regra da proposta do ACT 2020: Reajuste 0 da RMNR até 31/08/2021 e rejuste pelo INPC em 01/09/2021. Para o reajuste dos rendimentos em 2022, partiu-se da hipótese que o reajuste ocorrerá em 01/09/2022, também pelo INPC (ou seja, partiu-se de uma hipótese otimista, de que no ACT2022 a regra será melhor do que a desta proposta do ACT2020). 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Assim como par</a:t>
          </a:r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o VHCM, a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estimativa para os valores do INPC nos 2 anos deve ser informada na planilha "Principal" pelo usuário deste simulador.</a:t>
          </a:r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Pela falta de maiores informações no momento da elaboração deste simulador,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apresentamos como aproximação inicial</a:t>
          </a:r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 valor do IPCA projetado pelo economista Eric Dantas, do 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Ibeps.</a:t>
          </a:r>
          <a:r>
            <a:rPr lang="pt-BR" sz="1100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endParaRPr lang="pt-BR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pt-BR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Este simulador é baseado na 3a proposta de ACT enviada pela gestão da Petrobrás. Não é um cálculo oficial e utiliza estimativas, não havendo garantia de precisão. </a:t>
          </a:r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Ele não considera mudanças na faixa salarial do empregado nem nas faixas etárias dos beneficiários entre o período de 2020 e 2022. Também não foram considerados os beneficiários pelo Plano 28 nem o caso dos que não têm Petros.</a:t>
          </a:r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b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lang="pt-BR" sz="1100" baseline="0"/>
        </a:p>
      </xdr:txBody>
    </xdr:sp>
    <xdr:clientData/>
  </xdr:twoCellAnchor>
  <xdr:twoCellAnchor>
    <xdr:from>
      <xdr:col>0</xdr:col>
      <xdr:colOff>80211</xdr:colOff>
      <xdr:row>42</xdr:row>
      <xdr:rowOff>40106</xdr:rowOff>
    </xdr:from>
    <xdr:to>
      <xdr:col>11</xdr:col>
      <xdr:colOff>536073</xdr:colOff>
      <xdr:row>45</xdr:row>
      <xdr:rowOff>21744</xdr:rowOff>
    </xdr:to>
    <xdr:sp macro="" textlink="">
      <xdr:nvSpPr>
        <xdr:cNvPr id="4" name="CaixaDeText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6CA94BC-6D27-4174-AC2B-0E801F533479}"/>
            </a:ext>
          </a:extLst>
        </xdr:cNvPr>
        <xdr:cNvSpPr txBox="1"/>
      </xdr:nvSpPr>
      <xdr:spPr>
        <a:xfrm>
          <a:off x="80211" y="8041106"/>
          <a:ext cx="7183520" cy="553138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90000" tIns="46800" rtlCol="0" anchor="t"/>
        <a:lstStyle/>
        <a:p>
          <a:r>
            <a:rPr lang="pt-BR" sz="1100"/>
            <a:t>2. Para maiores informações sobre o estudo feito pelo</a:t>
          </a:r>
          <a:r>
            <a:rPr lang="pt-BR" sz="1100" baseline="0"/>
            <a:t> economista Eric Dantas</a:t>
          </a:r>
          <a:r>
            <a:rPr lang="pt-BR" sz="1100"/>
            <a:t>, veja o seguinte vídeo da</a:t>
          </a:r>
          <a:r>
            <a:rPr lang="pt-BR" sz="1100" baseline="0"/>
            <a:t> </a:t>
          </a:r>
          <a:r>
            <a:rPr lang="pt-BR" sz="1100"/>
            <a:t>FNP: </a:t>
          </a:r>
          <a:r>
            <a:rPr lang="pt-BR" sz="1100">
              <a:solidFill>
                <a:schemeClr val="accent1"/>
              </a:solidFill>
            </a:rPr>
            <a:t>https://youtu.be/iw5EU0oRmx8</a:t>
          </a:r>
        </a:p>
        <a:p>
          <a:endParaRPr lang="pt-BR" sz="1100"/>
        </a:p>
      </xdr:txBody>
    </xdr:sp>
    <xdr:clientData/>
  </xdr:twoCellAnchor>
  <xdr:twoCellAnchor editAs="oneCell">
    <xdr:from>
      <xdr:col>3</xdr:col>
      <xdr:colOff>491289</xdr:colOff>
      <xdr:row>1</xdr:row>
      <xdr:rowOff>30079</xdr:rowOff>
    </xdr:from>
    <xdr:to>
      <xdr:col>9</xdr:col>
      <xdr:colOff>13034</xdr:colOff>
      <xdr:row>4</xdr:row>
      <xdr:rowOff>39604</xdr:rowOff>
    </xdr:to>
    <xdr:pic>
      <xdr:nvPicPr>
        <xdr:cNvPr id="6" name="Imagem 5" descr="FNP - Federação Nacional dos Petroleiros">
          <a:extLst>
            <a:ext uri="{FF2B5EF4-FFF2-40B4-BE49-F238E27FC236}">
              <a16:creationId xmlns:a16="http://schemas.microsoft.com/office/drawing/2014/main" id="{8D006409-E17A-4993-8617-B03D00811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6105" y="220579"/>
          <a:ext cx="3191376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90237</xdr:colOff>
      <xdr:row>40</xdr:row>
      <xdr:rowOff>135189</xdr:rowOff>
    </xdr:from>
    <xdr:to>
      <xdr:col>11</xdr:col>
      <xdr:colOff>546099</xdr:colOff>
      <xdr:row>42</xdr:row>
      <xdr:rowOff>24189</xdr:rowOff>
    </xdr:to>
    <xdr:sp macro="" textlink="">
      <xdr:nvSpPr>
        <xdr:cNvPr id="14" name="CaixaDeTexto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E48AAC9-5D66-4C20-BB12-3C4519D8C9EE}"/>
            </a:ext>
          </a:extLst>
        </xdr:cNvPr>
        <xdr:cNvSpPr txBox="1"/>
      </xdr:nvSpPr>
      <xdr:spPr>
        <a:xfrm>
          <a:off x="90237" y="7755189"/>
          <a:ext cx="7183520" cy="27000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90000" tIns="46800" rtlCol="0" anchor="t"/>
        <a:lstStyle/>
        <a:p>
          <a:r>
            <a:rPr lang="pt-BR" sz="1100"/>
            <a:t>1. Para maiores informações, veja</a:t>
          </a:r>
          <a:r>
            <a:rPr lang="pt-BR" sz="1100" baseline="0"/>
            <a:t> o site da AMS: </a:t>
          </a:r>
          <a:r>
            <a:rPr lang="pt-BR" sz="1100" baseline="0">
              <a:solidFill>
                <a:schemeClr val="accent1"/>
              </a:solidFill>
            </a:rPr>
            <a:t>https://ams.petrobras.com.br/portal/ams/beneficiario/grande-risco.htm</a:t>
          </a:r>
          <a:endParaRPr lang="pt-BR" sz="1100">
            <a:solidFill>
              <a:schemeClr val="accent1"/>
            </a:solidFill>
          </a:endParaRPr>
        </a:p>
        <a:p>
          <a:endParaRPr lang="pt-BR" sz="1100"/>
        </a:p>
      </xdr:txBody>
    </xdr:sp>
    <xdr:clientData/>
  </xdr:twoCellAnchor>
  <xdr:twoCellAnchor>
    <xdr:from>
      <xdr:col>0</xdr:col>
      <xdr:colOff>80219</xdr:colOff>
      <xdr:row>45</xdr:row>
      <xdr:rowOff>50140</xdr:rowOff>
    </xdr:from>
    <xdr:to>
      <xdr:col>11</xdr:col>
      <xdr:colOff>536081</xdr:colOff>
      <xdr:row>48</xdr:row>
      <xdr:rowOff>18640</xdr:rowOff>
    </xdr:to>
    <xdr:sp macro="" textlink="">
      <xdr:nvSpPr>
        <xdr:cNvPr id="17" name="CaixaDeTexto 1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16B5991-3EC1-462D-B4BB-88F1FA23F5C4}"/>
            </a:ext>
          </a:extLst>
        </xdr:cNvPr>
        <xdr:cNvSpPr txBox="1"/>
      </xdr:nvSpPr>
      <xdr:spPr>
        <a:xfrm>
          <a:off x="80219" y="8622640"/>
          <a:ext cx="7183520" cy="54000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90000" tIns="46800" rtlCol="0" anchor="t"/>
        <a:lstStyle/>
        <a:p>
          <a:r>
            <a:rPr lang="pt-BR" sz="1100"/>
            <a:t>3.</a:t>
          </a:r>
          <a:r>
            <a:rPr lang="pt-BR" sz="1100" baseline="0"/>
            <a:t> Para maiores informações sobre a margem consignável, veja o site da AMS: </a:t>
          </a:r>
          <a:r>
            <a:rPr lang="pt-BR" sz="1100" baseline="0">
              <a:solidFill>
                <a:schemeClr val="accent1"/>
              </a:solidFill>
            </a:rPr>
            <a:t>https://ams.petrobras.com.br/portal/ams/beneficiario/serie-entendendo-custo-e-cobrancas-1.htm</a:t>
          </a:r>
          <a:endParaRPr lang="pt-BR" sz="1100">
            <a:solidFill>
              <a:schemeClr val="accent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8C7C3-93C7-4659-A52C-4027AA37A073}">
  <sheetPr codeName="Planilha8"/>
  <dimension ref="A1:M36"/>
  <sheetViews>
    <sheetView tabSelected="1" zoomScale="95" zoomScaleNormal="95" workbookViewId="0">
      <selection activeCell="P38" sqref="P38"/>
    </sheetView>
  </sheetViews>
  <sheetFormatPr defaultRowHeight="15" x14ac:dyDescent="0.25"/>
  <cols>
    <col min="1" max="16384" width="9.140625" style="132"/>
  </cols>
  <sheetData>
    <row r="1" spans="1:10" x14ac:dyDescent="0.25">
      <c r="A1" s="130"/>
      <c r="B1" s="131"/>
      <c r="C1" s="131"/>
      <c r="D1" s="131"/>
      <c r="E1" s="131"/>
      <c r="F1" s="131"/>
      <c r="G1" s="131"/>
      <c r="H1" s="131"/>
      <c r="I1" s="131"/>
      <c r="J1" s="131"/>
    </row>
    <row r="2" spans="1:10" x14ac:dyDescent="0.25">
      <c r="A2" s="131"/>
      <c r="B2" s="131"/>
      <c r="C2" s="131"/>
      <c r="D2" s="131"/>
      <c r="E2" s="131"/>
      <c r="F2" s="131"/>
      <c r="G2" s="131"/>
      <c r="H2" s="131"/>
      <c r="I2" s="131"/>
      <c r="J2" s="131"/>
    </row>
    <row r="3" spans="1:10" x14ac:dyDescent="0.25">
      <c r="A3" s="131"/>
      <c r="B3" s="131"/>
      <c r="C3" s="131"/>
      <c r="D3" s="131"/>
      <c r="E3" s="131"/>
      <c r="F3" s="131"/>
      <c r="G3" s="131"/>
      <c r="H3" s="131"/>
      <c r="I3" s="131"/>
      <c r="J3" s="131"/>
    </row>
    <row r="4" spans="1:10" x14ac:dyDescent="0.25">
      <c r="A4" s="131"/>
      <c r="B4" s="131"/>
      <c r="D4" s="131"/>
      <c r="E4" s="131"/>
      <c r="F4" s="131"/>
      <c r="G4" s="131"/>
      <c r="H4" s="131"/>
      <c r="I4" s="131"/>
      <c r="J4" s="131"/>
    </row>
    <row r="5" spans="1:10" x14ac:dyDescent="0.25">
      <c r="A5" s="131"/>
      <c r="B5" s="131"/>
      <c r="C5" s="131"/>
      <c r="D5" s="131"/>
      <c r="E5" s="131"/>
      <c r="F5" s="131"/>
      <c r="G5" s="131"/>
      <c r="H5" s="131"/>
      <c r="I5" s="131"/>
      <c r="J5" s="131"/>
    </row>
    <row r="6" spans="1:10" x14ac:dyDescent="0.25">
      <c r="A6" s="131"/>
      <c r="B6" s="131"/>
      <c r="C6" s="131"/>
      <c r="D6" s="131"/>
      <c r="E6" s="131"/>
      <c r="F6" s="131"/>
      <c r="G6" s="131"/>
      <c r="H6" s="131"/>
      <c r="I6" s="131"/>
      <c r="J6" s="131"/>
    </row>
    <row r="7" spans="1:10" x14ac:dyDescent="0.25">
      <c r="A7" s="131"/>
      <c r="B7" s="131"/>
      <c r="C7" s="131"/>
      <c r="D7" s="131"/>
      <c r="E7" s="131"/>
      <c r="F7" s="131"/>
      <c r="G7" s="131"/>
      <c r="H7" s="131"/>
      <c r="I7" s="131"/>
      <c r="J7" s="131"/>
    </row>
    <row r="8" spans="1:10" x14ac:dyDescent="0.25">
      <c r="A8" s="131"/>
      <c r="B8" s="131"/>
      <c r="C8" s="131"/>
      <c r="D8" s="131"/>
      <c r="E8" s="131"/>
      <c r="F8" s="131"/>
      <c r="G8" s="131"/>
      <c r="H8" s="131"/>
      <c r="I8" s="131"/>
      <c r="J8" s="131"/>
    </row>
    <row r="9" spans="1:10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</row>
    <row r="10" spans="1:10" x14ac:dyDescent="0.25">
      <c r="A10" s="131"/>
      <c r="B10" s="131"/>
      <c r="C10" s="131"/>
      <c r="D10" s="131"/>
      <c r="E10" s="131"/>
      <c r="F10" s="131"/>
      <c r="G10" s="131"/>
      <c r="H10" s="131"/>
      <c r="I10" s="131"/>
      <c r="J10" s="131"/>
    </row>
    <row r="11" spans="1:10" x14ac:dyDescent="0.25">
      <c r="A11" s="131"/>
      <c r="B11" s="131"/>
      <c r="C11" s="131"/>
      <c r="D11" s="131"/>
      <c r="E11" s="131"/>
      <c r="F11" s="131"/>
      <c r="G11" s="131"/>
      <c r="H11" s="131"/>
      <c r="I11" s="131"/>
      <c r="J11" s="131"/>
    </row>
    <row r="12" spans="1:10" x14ac:dyDescent="0.25">
      <c r="A12" s="131"/>
      <c r="B12" s="131"/>
      <c r="C12" s="131"/>
      <c r="D12" s="131"/>
      <c r="E12" s="131"/>
      <c r="F12" s="131"/>
      <c r="G12" s="131"/>
      <c r="H12" s="131"/>
      <c r="I12" s="131"/>
      <c r="J12" s="131"/>
    </row>
    <row r="13" spans="1:10" x14ac:dyDescent="0.25">
      <c r="A13" s="131"/>
      <c r="B13" s="131"/>
      <c r="C13" s="131"/>
      <c r="D13" s="131"/>
      <c r="E13" s="131"/>
      <c r="F13" s="131"/>
      <c r="G13" s="131"/>
      <c r="H13" s="131"/>
      <c r="I13" s="131"/>
      <c r="J13" s="131"/>
    </row>
    <row r="14" spans="1:10" x14ac:dyDescent="0.25">
      <c r="A14" s="131"/>
      <c r="B14" s="131"/>
      <c r="C14" s="131"/>
      <c r="D14" s="131"/>
      <c r="E14" s="131"/>
      <c r="F14" s="131"/>
      <c r="G14" s="131"/>
      <c r="H14" s="131"/>
      <c r="I14" s="131"/>
      <c r="J14" s="131"/>
    </row>
    <row r="15" spans="1:10" x14ac:dyDescent="0.25">
      <c r="A15" s="131"/>
      <c r="B15" s="131"/>
      <c r="C15" s="131"/>
      <c r="D15" s="131"/>
      <c r="E15" s="131"/>
      <c r="F15" s="131"/>
      <c r="G15" s="131"/>
      <c r="H15" s="131"/>
      <c r="I15" s="131"/>
      <c r="J15" s="131"/>
    </row>
    <row r="16" spans="1:10" x14ac:dyDescent="0.25">
      <c r="A16" s="131"/>
      <c r="B16" s="131"/>
      <c r="C16" s="131"/>
      <c r="D16" s="131"/>
      <c r="E16" s="131"/>
      <c r="F16" s="131"/>
      <c r="G16" s="131"/>
      <c r="H16" s="131"/>
      <c r="I16" s="131"/>
      <c r="J16" s="131"/>
    </row>
    <row r="17" spans="1:10" x14ac:dyDescent="0.25">
      <c r="A17" s="131"/>
      <c r="B17" s="131"/>
      <c r="C17" s="131"/>
      <c r="D17" s="131"/>
      <c r="E17" s="131"/>
      <c r="F17" s="131"/>
      <c r="G17" s="131"/>
      <c r="H17" s="131"/>
      <c r="I17" s="131"/>
      <c r="J17" s="131"/>
    </row>
    <row r="18" spans="1:10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</row>
    <row r="19" spans="1:10" x14ac:dyDescent="0.25">
      <c r="A19" s="131"/>
      <c r="B19" s="131"/>
      <c r="C19" s="131"/>
      <c r="D19" s="131"/>
      <c r="E19" s="131"/>
      <c r="F19" s="131"/>
      <c r="G19" s="131"/>
      <c r="H19" s="131"/>
      <c r="I19" s="131"/>
      <c r="J19" s="131"/>
    </row>
    <row r="20" spans="1:10" x14ac:dyDescent="0.25">
      <c r="A20" s="131"/>
      <c r="B20" s="131"/>
      <c r="C20" s="131"/>
      <c r="D20" s="131"/>
      <c r="E20" s="131"/>
      <c r="F20" s="131"/>
      <c r="G20" s="131"/>
      <c r="H20" s="131"/>
      <c r="I20" s="131"/>
      <c r="J20" s="131"/>
    </row>
    <row r="35" spans="13:13" x14ac:dyDescent="0.25">
      <c r="M35" s="133"/>
    </row>
    <row r="36" spans="13:13" x14ac:dyDescent="0.25">
      <c r="M36" s="134"/>
    </row>
  </sheetData>
  <sheetProtection algorithmName="SHA-512" hashValue="+hAXca2ZAVR74Pkvydh1KShJ8ZZuixK+66Qb3OXOdJ/HHOej+8u+1IEwqsdJxMBMS9l0gEH9PURuGODnNqhKaA==" saltValue="78s/70E+C2mFhBZduRHFwg==" spinCount="100000" sheet="1" objects="1" scenarios="1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F141E-CC6B-4C2C-B02E-96F2303AB9F1}">
  <sheetPr codeName="Planilha6"/>
  <dimension ref="A1:P16"/>
  <sheetViews>
    <sheetView workbookViewId="0">
      <selection sqref="A1:M1"/>
    </sheetView>
  </sheetViews>
  <sheetFormatPr defaultRowHeight="15" x14ac:dyDescent="0.25"/>
  <cols>
    <col min="3" max="3" width="17.7109375" bestFit="1" customWidth="1"/>
    <col min="15" max="15" width="15.85546875" bestFit="1" customWidth="1"/>
  </cols>
  <sheetData>
    <row r="1" spans="1:16" s="5" customFormat="1" ht="45" customHeight="1" thickBot="1" x14ac:dyDescent="0.3">
      <c r="A1" s="226" t="s">
        <v>106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O1" s="29" t="s">
        <v>20</v>
      </c>
      <c r="P1" s="30">
        <f>Principal!C20</f>
        <v>0.11</v>
      </c>
    </row>
    <row r="2" spans="1:16" x14ac:dyDescent="0.25">
      <c r="A2" s="228" t="s">
        <v>12</v>
      </c>
      <c r="B2" s="228"/>
      <c r="C2" s="228" t="s">
        <v>10</v>
      </c>
      <c r="D2" s="228" t="s">
        <v>11</v>
      </c>
      <c r="E2" s="228"/>
      <c r="F2" s="228"/>
      <c r="G2" s="228"/>
      <c r="H2" s="228"/>
      <c r="I2" s="228"/>
      <c r="J2" s="228"/>
      <c r="K2" s="228"/>
      <c r="L2" s="228"/>
      <c r="M2" s="228"/>
    </row>
    <row r="3" spans="1:16" x14ac:dyDescent="0.25">
      <c r="A3" s="228"/>
      <c r="B3" s="228"/>
      <c r="C3" s="228"/>
      <c r="D3" s="1" t="s">
        <v>0</v>
      </c>
      <c r="E3" s="1" t="s">
        <v>1</v>
      </c>
      <c r="F3" s="1" t="s">
        <v>2</v>
      </c>
      <c r="G3" s="1" t="s">
        <v>3</v>
      </c>
      <c r="H3" s="1" t="s">
        <v>4</v>
      </c>
      <c r="I3" s="1" t="s">
        <v>5</v>
      </c>
      <c r="J3" s="1" t="s">
        <v>6</v>
      </c>
      <c r="K3" s="1" t="s">
        <v>7</v>
      </c>
      <c r="L3" s="1" t="s">
        <v>8</v>
      </c>
      <c r="M3" s="1" t="s">
        <v>9</v>
      </c>
    </row>
    <row r="4" spans="1:16" x14ac:dyDescent="0.25">
      <c r="A4" s="229" t="s">
        <v>13</v>
      </c>
      <c r="B4" s="2">
        <v>1456.67</v>
      </c>
      <c r="C4" s="3">
        <v>7.0000000000000007E-2</v>
      </c>
      <c r="D4" s="45">
        <f>Anexo_II!D4*(1+$P$1)</f>
        <v>34.276800000000001</v>
      </c>
      <c r="E4" s="45">
        <f>Anexo_II!E4*(1+$P$1)</f>
        <v>41.3142</v>
      </c>
      <c r="F4" s="45">
        <f>Anexo_II!F4*(1+$P$1)</f>
        <v>47.508000000000003</v>
      </c>
      <c r="G4" s="45">
        <f>Anexo_II!G4*(1+$P$1)</f>
        <v>52.258800000000001</v>
      </c>
      <c r="H4" s="45">
        <f>Anexo_II!H4*(1+$P$1)</f>
        <v>57.486900000000006</v>
      </c>
      <c r="I4" s="45">
        <f>Anexo_II!I4*(1+$P$1)</f>
        <v>81.795900000000003</v>
      </c>
      <c r="J4" s="45">
        <f>Anexo_II!J4*(1+$P$1)</f>
        <v>98.157300000000021</v>
      </c>
      <c r="K4" s="45">
        <f>Anexo_II!K4*(1+$P$1)</f>
        <v>107.9697</v>
      </c>
      <c r="L4" s="45">
        <f>Anexo_II!L4*(1+$P$1)</f>
        <v>129.5592</v>
      </c>
      <c r="M4" s="45">
        <f>Anexo_II!M4*(1+$P$1)</f>
        <v>155.4777</v>
      </c>
    </row>
    <row r="5" spans="1:16" x14ac:dyDescent="0.25">
      <c r="A5" s="229"/>
      <c r="B5" s="2">
        <v>2497.15</v>
      </c>
      <c r="C5" s="3">
        <v>0.14000000000000001</v>
      </c>
      <c r="D5" s="45">
        <f>Anexo_II!D5*(1+$P$1)</f>
        <v>45.53220000000001</v>
      </c>
      <c r="E5" s="45">
        <f>Anexo_II!E5*(1+$P$1)</f>
        <v>54.867300000000007</v>
      </c>
      <c r="F5" s="45">
        <f>Anexo_II!F5*(1+$P$1)</f>
        <v>63.103500000000004</v>
      </c>
      <c r="G5" s="45">
        <f>Anexo_II!G5*(1+$P$1)</f>
        <v>69.408300000000011</v>
      </c>
      <c r="H5" s="45">
        <f>Anexo_II!H5*(1+$P$1)</f>
        <v>76.345800000000011</v>
      </c>
      <c r="I5" s="45">
        <f>Anexo_II!I5*(1+$P$1)</f>
        <v>108.6468</v>
      </c>
      <c r="J5" s="45">
        <f>Anexo_II!J5*(1+$P$1)</f>
        <v>130.36950000000002</v>
      </c>
      <c r="K5" s="45">
        <f>Anexo_II!K5*(1+$P$1)</f>
        <v>143.41200000000001</v>
      </c>
      <c r="L5" s="45">
        <f>Anexo_II!L5*(1+$P$1)</f>
        <v>172.08330000000001</v>
      </c>
      <c r="M5" s="45">
        <f>Anexo_II!M5*(1+$P$1)</f>
        <v>206.5044</v>
      </c>
    </row>
    <row r="6" spans="1:16" x14ac:dyDescent="0.25">
      <c r="A6" s="229"/>
      <c r="B6" s="2">
        <v>4994.3</v>
      </c>
      <c r="C6" s="3">
        <v>0.22</v>
      </c>
      <c r="D6" s="45">
        <f>Anexo_II!D6*(1+$P$1)</f>
        <v>74.336700000000008</v>
      </c>
      <c r="E6" s="45">
        <f>Anexo_II!E6*(1+$P$1)</f>
        <v>89.577000000000012</v>
      </c>
      <c r="F6" s="45">
        <f>Anexo_II!F6*(1+$P$1)</f>
        <v>103.01910000000001</v>
      </c>
      <c r="G6" s="45">
        <f>Anexo_II!G6*(1+$P$1)</f>
        <v>113.31990000000002</v>
      </c>
      <c r="H6" s="45">
        <f>Anexo_II!H6*(1+$P$1)</f>
        <v>124.65300000000001</v>
      </c>
      <c r="I6" s="45">
        <f>Anexo_II!I6*(1+$P$1)</f>
        <v>177.37800000000001</v>
      </c>
      <c r="J6" s="45">
        <f>Anexo_II!J6*(1+$P$1)</f>
        <v>212.84250000000003</v>
      </c>
      <c r="K6" s="45">
        <f>Anexo_II!K6*(1+$P$1)</f>
        <v>234.13230000000001</v>
      </c>
      <c r="L6" s="45">
        <f>Anexo_II!L6*(1+$P$1)</f>
        <v>280.96320000000003</v>
      </c>
      <c r="M6" s="45">
        <f>Anexo_II!M6*(1+$P$1)</f>
        <v>337.15140000000002</v>
      </c>
    </row>
    <row r="7" spans="1:16" x14ac:dyDescent="0.25">
      <c r="A7" s="229"/>
      <c r="B7" s="2">
        <v>7491.46</v>
      </c>
      <c r="C7" s="3">
        <v>0.28000000000000003</v>
      </c>
      <c r="D7" s="45">
        <f>Anexo_II!D7*(1+$P$1)</f>
        <v>93.761700000000005</v>
      </c>
      <c r="E7" s="45">
        <f>Anexo_II!E7*(1+$P$1)</f>
        <v>112.98690000000002</v>
      </c>
      <c r="F7" s="45">
        <f>Anexo_II!F7*(1+$P$1)</f>
        <v>129.93660000000003</v>
      </c>
      <c r="G7" s="45">
        <f>Anexo_II!G7*(1+$P$1)</f>
        <v>142.93470000000002</v>
      </c>
      <c r="H7" s="45">
        <f>Anexo_II!H7*(1+$P$1)</f>
        <v>157.23150000000001</v>
      </c>
      <c r="I7" s="45">
        <f>Anexo_II!I7*(1+$P$1)</f>
        <v>223.73160000000001</v>
      </c>
      <c r="J7" s="45">
        <f>Anexo_II!J7*(1+$P$1)</f>
        <v>268.47570000000002</v>
      </c>
      <c r="K7" s="45">
        <f>Anexo_II!K7*(1+$P$1)</f>
        <v>295.31550000000004</v>
      </c>
      <c r="L7" s="45">
        <f>Anexo_II!L7*(1+$P$1)</f>
        <v>354.3897</v>
      </c>
      <c r="M7" s="45">
        <f>Anexo_II!M7*(1+$P$1)</f>
        <v>425.26320000000004</v>
      </c>
    </row>
    <row r="8" spans="1:16" x14ac:dyDescent="0.25">
      <c r="A8" s="229"/>
      <c r="B8" s="2">
        <v>9988.61</v>
      </c>
      <c r="C8" s="3">
        <v>0.35</v>
      </c>
      <c r="D8" s="45">
        <f>Anexo_II!D8*(1+$P$1)</f>
        <v>105.4722</v>
      </c>
      <c r="E8" s="45">
        <f>Anexo_II!E8*(1+$P$1)</f>
        <v>127.10610000000001</v>
      </c>
      <c r="F8" s="45">
        <f>Anexo_II!F8*(1+$P$1)</f>
        <v>146.16480000000001</v>
      </c>
      <c r="G8" s="45">
        <f>Anexo_II!G8*(1+$P$1)</f>
        <v>160.7835</v>
      </c>
      <c r="H8" s="45">
        <f>Anexo_II!H8*(1+$P$1)</f>
        <v>176.86740000000003</v>
      </c>
      <c r="I8" s="45">
        <f>Anexo_II!I8*(1+$P$1)</f>
        <v>251.6703</v>
      </c>
      <c r="J8" s="45">
        <f>Anexo_II!J8*(1+$P$1)</f>
        <v>302.00880000000001</v>
      </c>
      <c r="K8" s="45">
        <f>Anexo_II!K8*(1+$P$1)</f>
        <v>332.20080000000002</v>
      </c>
      <c r="L8" s="45">
        <f>Anexo_II!L8*(1+$P$1)</f>
        <v>398.6454</v>
      </c>
      <c r="M8" s="45">
        <f>Anexo_II!M8*(1+$P$1)</f>
        <v>478.37670000000008</v>
      </c>
    </row>
    <row r="9" spans="1:16" x14ac:dyDescent="0.25">
      <c r="A9" s="229"/>
      <c r="B9" s="2">
        <v>14982.91</v>
      </c>
      <c r="C9" s="3">
        <v>0.39</v>
      </c>
      <c r="D9" s="45">
        <f>Anexo_II!D9*(1+$P$1)</f>
        <v>128.85990000000001</v>
      </c>
      <c r="E9" s="45">
        <f>Anexo_II!E9*(1+$P$1)</f>
        <v>155.28900000000002</v>
      </c>
      <c r="F9" s="45">
        <f>Anexo_II!F9*(1+$P$1)</f>
        <v>178.58789999999999</v>
      </c>
      <c r="G9" s="45">
        <f>Anexo_II!G9*(1+$P$1)</f>
        <v>196.4478</v>
      </c>
      <c r="H9" s="45">
        <f>Anexo_II!H9*(1+$P$1)</f>
        <v>216.08369999999999</v>
      </c>
      <c r="I9" s="45">
        <f>Anexo_II!I9*(1+$P$1)</f>
        <v>307.48110000000003</v>
      </c>
      <c r="J9" s="45">
        <f>Anexo_II!J9*(1+$P$1)</f>
        <v>368.98620000000005</v>
      </c>
      <c r="K9" s="45">
        <f>Anexo_II!K9*(1+$P$1)</f>
        <v>405.88260000000008</v>
      </c>
      <c r="L9" s="45">
        <f>Anexo_II!L9*(1+$P$1)</f>
        <v>487.05690000000004</v>
      </c>
      <c r="M9" s="45">
        <f>Anexo_II!M9*(1+$P$1)</f>
        <v>584.47050000000002</v>
      </c>
    </row>
    <row r="10" spans="1:16" x14ac:dyDescent="0.25">
      <c r="A10" s="229"/>
      <c r="B10" s="2">
        <v>19977.22</v>
      </c>
      <c r="C10" s="3">
        <v>0.42</v>
      </c>
      <c r="D10" s="45">
        <f>Anexo_II!D10*(1+$P$1)</f>
        <v>145.0437</v>
      </c>
      <c r="E10" s="45">
        <f>Anexo_II!E10*(1+$P$1)</f>
        <v>174.79170000000002</v>
      </c>
      <c r="F10" s="45">
        <f>Anexo_II!F10*(1+$P$1)</f>
        <v>201.00990000000002</v>
      </c>
      <c r="G10" s="45">
        <f>Anexo_II!G10*(1+$P$1)</f>
        <v>221.10090000000002</v>
      </c>
      <c r="H10" s="45">
        <f>Anexo_II!H10*(1+$P$1)</f>
        <v>243.21210000000005</v>
      </c>
      <c r="I10" s="45">
        <f>Anexo_II!I10*(1+$P$1)</f>
        <v>346.08690000000007</v>
      </c>
      <c r="J10" s="45">
        <f>Anexo_II!J10*(1+$P$1)</f>
        <v>415.30650000000003</v>
      </c>
      <c r="K10" s="45">
        <f>Anexo_II!K10*(1+$P$1)</f>
        <v>456.84270000000004</v>
      </c>
      <c r="L10" s="45">
        <f>Anexo_II!L10*(1+$P$1)</f>
        <v>548.20680000000004</v>
      </c>
      <c r="M10" s="45">
        <f>Anexo_II!M10*(1+$P$1)</f>
        <v>657.8415</v>
      </c>
    </row>
    <row r="11" spans="1:16" x14ac:dyDescent="0.25">
      <c r="A11" s="229"/>
      <c r="B11" s="2">
        <v>23514.85</v>
      </c>
      <c r="C11" s="3">
        <v>0.46</v>
      </c>
      <c r="D11" s="45">
        <f>Anexo_II!D11*(1+$P$1)</f>
        <v>177.48900000000003</v>
      </c>
      <c r="E11" s="45">
        <f>Anexo_II!E11*(1+$P$1)</f>
        <v>213.71940000000001</v>
      </c>
      <c r="F11" s="45">
        <f>Anexo_II!F11*(1+$P$1)</f>
        <v>245.77620000000002</v>
      </c>
      <c r="G11" s="45">
        <f>Anexo_II!G11*(1+$P$1)</f>
        <v>270.35160000000002</v>
      </c>
      <c r="H11" s="45">
        <f>Anexo_II!H11*(1+$P$1)</f>
        <v>297.39120000000003</v>
      </c>
      <c r="I11" s="45">
        <f>Anexo_II!I11*(1+$P$1)</f>
        <v>423.17640000000006</v>
      </c>
      <c r="J11" s="45">
        <f>Anexo_II!J11*(1+$P$1)</f>
        <v>507.81390000000005</v>
      </c>
      <c r="K11" s="45">
        <f>Anexo_II!K11*(1+$P$1)</f>
        <v>558.58530000000007</v>
      </c>
      <c r="L11" s="45">
        <f>Anexo_II!L11*(1+$P$1)</f>
        <v>670.30680000000007</v>
      </c>
      <c r="M11" s="45">
        <f>Anexo_II!M11*(1+$P$1)</f>
        <v>804.37260000000003</v>
      </c>
    </row>
    <row r="12" spans="1:16" x14ac:dyDescent="0.25">
      <c r="A12" s="229"/>
      <c r="B12" s="2">
        <v>27052.48</v>
      </c>
      <c r="C12" s="3">
        <v>0.48</v>
      </c>
      <c r="D12" s="45">
        <f>Anexo_II!D12*(1+$P$1)</f>
        <v>195.18240000000003</v>
      </c>
      <c r="E12" s="45">
        <f>Anexo_II!E12*(1+$P$1)</f>
        <v>235.08690000000001</v>
      </c>
      <c r="F12" s="45">
        <f>Anexo_II!F12*(1+$P$1)</f>
        <v>270.35160000000002</v>
      </c>
      <c r="G12" s="45">
        <f>Anexo_II!G12*(1+$P$1)</f>
        <v>297.39120000000003</v>
      </c>
      <c r="H12" s="45">
        <f>Anexo_II!H12*(1+$P$1)</f>
        <v>327.12810000000002</v>
      </c>
      <c r="I12" s="45">
        <f>Anexo_II!I12*(1+$P$1)</f>
        <v>465.48960000000005</v>
      </c>
      <c r="J12" s="45">
        <f>Anexo_II!J12*(1+$P$1)</f>
        <v>558.58530000000007</v>
      </c>
      <c r="K12" s="45">
        <f>Anexo_II!K12*(1+$P$1)</f>
        <v>614.45159999999998</v>
      </c>
      <c r="L12" s="45">
        <f>Anexo_II!L12*(1+$P$1)</f>
        <v>737.33969999999999</v>
      </c>
      <c r="M12" s="45">
        <f>Anexo_II!M12*(1+$P$1)</f>
        <v>884.80320000000006</v>
      </c>
    </row>
    <row r="13" spans="1:16" x14ac:dyDescent="0.25">
      <c r="A13" s="229"/>
      <c r="B13" s="2">
        <v>31214.400000000001</v>
      </c>
      <c r="C13" s="3">
        <v>0.5</v>
      </c>
      <c r="D13" s="45">
        <f>Anexo_II!D13*(1+$P$1)</f>
        <v>225.89610000000002</v>
      </c>
      <c r="E13" s="45">
        <f>Anexo_II!E13*(1+$P$1)</f>
        <v>258.5967</v>
      </c>
      <c r="F13" s="45">
        <f>Anexo_II!F13*(1+$P$1)</f>
        <v>297.39120000000003</v>
      </c>
      <c r="G13" s="45">
        <f>Anexo_II!G13*(1+$P$1)</f>
        <v>327.12810000000002</v>
      </c>
      <c r="H13" s="45">
        <f>Anexo_II!H13*(1+$P$1)</f>
        <v>359.83980000000003</v>
      </c>
      <c r="I13" s="45">
        <f>Anexo_II!I13*(1+$P$1)</f>
        <v>512.04300000000001</v>
      </c>
      <c r="J13" s="45">
        <f>Anexo_II!J13*(1+$P$1)</f>
        <v>614.45159999999998</v>
      </c>
      <c r="K13" s="45">
        <f>Anexo_II!K13*(1+$P$1)</f>
        <v>675.89010000000007</v>
      </c>
      <c r="L13" s="45">
        <f>Anexo_II!L13*(1+$P$1)</f>
        <v>811.07700000000011</v>
      </c>
      <c r="M13" s="45">
        <f>Anexo_II!M13*(1+$P$1)</f>
        <v>973.29240000000016</v>
      </c>
    </row>
    <row r="14" spans="1:16" x14ac:dyDescent="0.25">
      <c r="A14" s="229"/>
      <c r="B14" s="2">
        <v>37457.279999999999</v>
      </c>
      <c r="C14" s="3">
        <v>0.5</v>
      </c>
      <c r="D14" s="45">
        <f>Anexo_II!D14*(1+$P$1)</f>
        <v>271.51710000000003</v>
      </c>
      <c r="E14" s="45">
        <f>Anexo_II!E14*(1+$P$1)</f>
        <v>296.32560000000001</v>
      </c>
      <c r="F14" s="45">
        <f>Anexo_II!F14*(1+$P$1)</f>
        <v>327.12810000000002</v>
      </c>
      <c r="G14" s="45">
        <f>Anexo_II!G14*(1+$P$1)</f>
        <v>359.83980000000003</v>
      </c>
      <c r="H14" s="45">
        <f>Anexo_II!H14*(1+$P$1)</f>
        <v>395.82600000000008</v>
      </c>
      <c r="I14" s="45">
        <f>Anexo_II!I14*(1+$P$1)</f>
        <v>563.24730000000011</v>
      </c>
      <c r="J14" s="45">
        <f>Anexo_II!J14*(1+$P$1)</f>
        <v>675.89010000000007</v>
      </c>
      <c r="K14" s="45">
        <f>Anexo_II!K14*(1+$P$1)</f>
        <v>743.47800000000007</v>
      </c>
      <c r="L14" s="45">
        <f>Anexo_II!L14*(1+$P$1)</f>
        <v>892.18470000000002</v>
      </c>
      <c r="M14" s="45">
        <f>Anexo_II!M14*(1+$P$1)</f>
        <v>1070.6172000000001</v>
      </c>
    </row>
    <row r="15" spans="1:16" x14ac:dyDescent="0.25">
      <c r="A15" s="4" t="s">
        <v>14</v>
      </c>
      <c r="B15" s="2">
        <v>37457.279999999999</v>
      </c>
      <c r="C15" s="3">
        <v>0.5</v>
      </c>
      <c r="D15" s="45">
        <f>Anexo_II!D15*(1+$P$1)</f>
        <v>326.6397</v>
      </c>
      <c r="E15" s="45">
        <f>Anexo_II!E15*(1+$P$1)</f>
        <v>356.42100000000005</v>
      </c>
      <c r="F15" s="45">
        <f>Anexo_II!F15*(1+$P$1)</f>
        <v>386.19120000000004</v>
      </c>
      <c r="G15" s="45">
        <f>Anexo_II!G15*(1+$P$1)</f>
        <v>416.02800000000008</v>
      </c>
      <c r="H15" s="45">
        <f>Anexo_II!H15*(1+$P$1)</f>
        <v>445.76490000000001</v>
      </c>
      <c r="I15" s="45">
        <f>Anexo_II!I15*(1+$P$1)</f>
        <v>619.56870000000004</v>
      </c>
      <c r="J15" s="45">
        <f>Anexo_II!J15*(1+$P$1)</f>
        <v>743.47800000000007</v>
      </c>
      <c r="K15" s="45">
        <f>Anexo_II!K15*(1+$P$1)</f>
        <v>817.83690000000001</v>
      </c>
      <c r="L15" s="45">
        <f>Anexo_II!L15*(1+$P$1)</f>
        <v>981.39540000000011</v>
      </c>
      <c r="M15" s="45">
        <f>Anexo_II!M15*(1+$P$1)</f>
        <v>1177.6767000000002</v>
      </c>
    </row>
    <row r="16" spans="1:16" x14ac:dyDescent="0.25">
      <c r="A16" s="4" t="s">
        <v>16</v>
      </c>
      <c r="B16" s="4">
        <v>450</v>
      </c>
      <c r="C16" s="3">
        <v>0.5</v>
      </c>
      <c r="D16" s="4" t="s">
        <v>15</v>
      </c>
      <c r="E16" s="4" t="s">
        <v>15</v>
      </c>
      <c r="F16" s="4" t="s">
        <v>15</v>
      </c>
      <c r="G16" s="4" t="s">
        <v>15</v>
      </c>
      <c r="H16" s="4" t="s">
        <v>15</v>
      </c>
      <c r="I16" s="4" t="s">
        <v>15</v>
      </c>
      <c r="J16" s="4" t="s">
        <v>15</v>
      </c>
      <c r="K16" s="4" t="s">
        <v>15</v>
      </c>
      <c r="L16" s="4" t="s">
        <v>15</v>
      </c>
      <c r="M16" s="4" t="s">
        <v>15</v>
      </c>
    </row>
  </sheetData>
  <sheetProtection algorithmName="SHA-512" hashValue="6//zrWbeC0vai4COSoZUrKXKyZMUZ5i1BcOkz3FdN+7+dpZ1g/l5uVajNczJAsP1hMcI9WHUrTWCa4QHDFQ0nw==" saltValue="leQvlEBjA0QUF+sIB/R2Eg==" spinCount="100000" sheet="1" objects="1" scenarios="1"/>
  <mergeCells count="5">
    <mergeCell ref="A1:M1"/>
    <mergeCell ref="A2:B3"/>
    <mergeCell ref="C2:C3"/>
    <mergeCell ref="D2:M2"/>
    <mergeCell ref="A4:A1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8CDB9-949D-4E51-AB52-051F2D48A77E}">
  <dimension ref="A1:P16"/>
  <sheetViews>
    <sheetView workbookViewId="0">
      <selection activeCell="O14" sqref="O14"/>
    </sheetView>
  </sheetViews>
  <sheetFormatPr defaultRowHeight="15" x14ac:dyDescent="0.25"/>
  <cols>
    <col min="3" max="3" width="17.7109375" bestFit="1" customWidth="1"/>
    <col min="15" max="15" width="15.85546875" bestFit="1" customWidth="1"/>
  </cols>
  <sheetData>
    <row r="1" spans="1:16" s="121" customFormat="1" ht="45" customHeight="1" thickBot="1" x14ac:dyDescent="0.3">
      <c r="A1" s="226" t="s">
        <v>21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O1" s="29" t="s">
        <v>20</v>
      </c>
      <c r="P1" s="30">
        <f>Principal!C21</f>
        <v>0.115</v>
      </c>
    </row>
    <row r="2" spans="1:16" x14ac:dyDescent="0.25">
      <c r="A2" s="228" t="s">
        <v>12</v>
      </c>
      <c r="B2" s="228"/>
      <c r="C2" s="228" t="s">
        <v>10</v>
      </c>
      <c r="D2" s="228" t="s">
        <v>11</v>
      </c>
      <c r="E2" s="228"/>
      <c r="F2" s="228"/>
      <c r="G2" s="228"/>
      <c r="H2" s="228"/>
      <c r="I2" s="228"/>
      <c r="J2" s="228"/>
      <c r="K2" s="228"/>
      <c r="L2" s="228"/>
      <c r="M2" s="228"/>
    </row>
    <row r="3" spans="1:16" x14ac:dyDescent="0.25">
      <c r="A3" s="228"/>
      <c r="B3" s="228"/>
      <c r="C3" s="228"/>
      <c r="D3" s="122" t="s">
        <v>0</v>
      </c>
      <c r="E3" s="122" t="s">
        <v>1</v>
      </c>
      <c r="F3" s="122" t="s">
        <v>2</v>
      </c>
      <c r="G3" s="122" t="s">
        <v>3</v>
      </c>
      <c r="H3" s="122" t="s">
        <v>4</v>
      </c>
      <c r="I3" s="122" t="s">
        <v>5</v>
      </c>
      <c r="J3" s="122" t="s">
        <v>6</v>
      </c>
      <c r="K3" s="122" t="s">
        <v>7</v>
      </c>
      <c r="L3" s="122" t="s">
        <v>8</v>
      </c>
      <c r="M3" s="122" t="s">
        <v>9</v>
      </c>
    </row>
    <row r="4" spans="1:16" x14ac:dyDescent="0.25">
      <c r="A4" s="229" t="s">
        <v>13</v>
      </c>
      <c r="B4" s="2">
        <v>1456.67</v>
      </c>
      <c r="C4" s="3">
        <v>7.0000000000000007E-2</v>
      </c>
      <c r="D4" s="45">
        <f>Anexo_II_VHCM_antes_mar!D4*(1+$P$1)</f>
        <v>38.218631999999999</v>
      </c>
      <c r="E4" s="45">
        <f>Anexo_II_VHCM_antes_mar!E4*(1+$P$1)</f>
        <v>46.065333000000003</v>
      </c>
      <c r="F4" s="45">
        <f>Anexo_II_VHCM_antes_mar!F4*(1+$P$1)</f>
        <v>52.971420000000002</v>
      </c>
      <c r="G4" s="45">
        <f>Anexo_II_VHCM_antes_mar!G4*(1+$P$1)</f>
        <v>58.268562000000003</v>
      </c>
      <c r="H4" s="45">
        <f>Anexo_II_VHCM_antes_mar!H4*(1+$P$1)</f>
        <v>64.097893500000012</v>
      </c>
      <c r="I4" s="45">
        <f>Anexo_II_VHCM_antes_mar!I4*(1+$P$1)</f>
        <v>91.202428499999996</v>
      </c>
      <c r="J4" s="45">
        <f>Anexo_II_VHCM_antes_mar!J4*(1+$P$1)</f>
        <v>109.44538950000002</v>
      </c>
      <c r="K4" s="45">
        <f>Anexo_II_VHCM_antes_mar!K4*(1+$P$1)</f>
        <v>120.38621550000001</v>
      </c>
      <c r="L4" s="45">
        <f>Anexo_II_VHCM_antes_mar!L4*(1+$P$1)</f>
        <v>144.45850799999999</v>
      </c>
      <c r="M4" s="45">
        <f>Anexo_II_VHCM_antes_mar!M4*(1+$P$1)</f>
        <v>173.35763549999999</v>
      </c>
    </row>
    <row r="5" spans="1:16" x14ac:dyDescent="0.25">
      <c r="A5" s="229"/>
      <c r="B5" s="2">
        <v>2497.15</v>
      </c>
      <c r="C5" s="3">
        <v>0.14000000000000001</v>
      </c>
      <c r="D5" s="45">
        <f>Anexo_II_VHCM_antes_mar!D5*(1+$P$1)</f>
        <v>50.768403000000013</v>
      </c>
      <c r="E5" s="45">
        <f>Anexo_II_VHCM_antes_mar!E5*(1+$P$1)</f>
        <v>61.177039500000006</v>
      </c>
      <c r="F5" s="45">
        <f>Anexo_II_VHCM_antes_mar!F5*(1+$P$1)</f>
        <v>70.360402500000006</v>
      </c>
      <c r="G5" s="45">
        <f>Anexo_II_VHCM_antes_mar!G5*(1+$P$1)</f>
        <v>77.390254500000012</v>
      </c>
      <c r="H5" s="45">
        <f>Anexo_II_VHCM_antes_mar!H5*(1+$P$1)</f>
        <v>85.125567000000018</v>
      </c>
      <c r="I5" s="45">
        <f>Anexo_II_VHCM_antes_mar!I5*(1+$P$1)</f>
        <v>121.141182</v>
      </c>
      <c r="J5" s="45">
        <f>Anexo_II_VHCM_antes_mar!J5*(1+$P$1)</f>
        <v>145.36199250000001</v>
      </c>
      <c r="K5" s="45">
        <f>Anexo_II_VHCM_antes_mar!K5*(1+$P$1)</f>
        <v>159.90438</v>
      </c>
      <c r="L5" s="45">
        <f>Anexo_II_VHCM_antes_mar!L5*(1+$P$1)</f>
        <v>191.87287950000001</v>
      </c>
      <c r="M5" s="45">
        <f>Anexo_II_VHCM_antes_mar!M5*(1+$P$1)</f>
        <v>230.25240600000001</v>
      </c>
    </row>
    <row r="6" spans="1:16" x14ac:dyDescent="0.25">
      <c r="A6" s="229"/>
      <c r="B6" s="2">
        <v>4994.3</v>
      </c>
      <c r="C6" s="3">
        <v>0.22</v>
      </c>
      <c r="D6" s="45">
        <f>Anexo_II_VHCM_antes_mar!D6*(1+$P$1)</f>
        <v>82.885420500000009</v>
      </c>
      <c r="E6" s="45">
        <f>Anexo_II_VHCM_antes_mar!E6*(1+$P$1)</f>
        <v>99.878355000000013</v>
      </c>
      <c r="F6" s="45">
        <f>Anexo_II_VHCM_antes_mar!F6*(1+$P$1)</f>
        <v>114.8662965</v>
      </c>
      <c r="G6" s="45">
        <f>Anexo_II_VHCM_antes_mar!G6*(1+$P$1)</f>
        <v>126.35168850000002</v>
      </c>
      <c r="H6" s="45">
        <f>Anexo_II_VHCM_antes_mar!H6*(1+$P$1)</f>
        <v>138.98809500000002</v>
      </c>
      <c r="I6" s="45">
        <f>Anexo_II_VHCM_antes_mar!I6*(1+$P$1)</f>
        <v>197.77647000000002</v>
      </c>
      <c r="J6" s="45">
        <f>Anexo_II_VHCM_antes_mar!J6*(1+$P$1)</f>
        <v>237.31938750000003</v>
      </c>
      <c r="K6" s="45">
        <f>Anexo_II_VHCM_antes_mar!K6*(1+$P$1)</f>
        <v>261.05751450000002</v>
      </c>
      <c r="L6" s="45">
        <f>Anexo_II_VHCM_antes_mar!L6*(1+$P$1)</f>
        <v>313.27396800000002</v>
      </c>
      <c r="M6" s="45">
        <f>Anexo_II_VHCM_antes_mar!M6*(1+$P$1)</f>
        <v>375.923811</v>
      </c>
    </row>
    <row r="7" spans="1:16" x14ac:dyDescent="0.25">
      <c r="A7" s="229"/>
      <c r="B7" s="2">
        <v>7491.46</v>
      </c>
      <c r="C7" s="3">
        <v>0.28000000000000003</v>
      </c>
      <c r="D7" s="45">
        <f>Anexo_II_VHCM_antes_mar!D7*(1+$P$1)</f>
        <v>104.5442955</v>
      </c>
      <c r="E7" s="45">
        <f>Anexo_II_VHCM_antes_mar!E7*(1+$P$1)</f>
        <v>125.98039350000002</v>
      </c>
      <c r="F7" s="45">
        <f>Anexo_II_VHCM_antes_mar!F7*(1+$P$1)</f>
        <v>144.87930900000003</v>
      </c>
      <c r="G7" s="45">
        <f>Anexo_II_VHCM_antes_mar!G7*(1+$P$1)</f>
        <v>159.37219050000002</v>
      </c>
      <c r="H7" s="45">
        <f>Anexo_II_VHCM_antes_mar!H7*(1+$P$1)</f>
        <v>175.31312250000002</v>
      </c>
      <c r="I7" s="45">
        <f>Anexo_II_VHCM_antes_mar!I7*(1+$P$1)</f>
        <v>249.460734</v>
      </c>
      <c r="J7" s="45">
        <f>Anexo_II_VHCM_antes_mar!J7*(1+$P$1)</f>
        <v>299.35040550000002</v>
      </c>
      <c r="K7" s="45">
        <f>Anexo_II_VHCM_antes_mar!K7*(1+$P$1)</f>
        <v>329.27678250000002</v>
      </c>
      <c r="L7" s="45">
        <f>Anexo_II_VHCM_antes_mar!L7*(1+$P$1)</f>
        <v>395.14451550000001</v>
      </c>
      <c r="M7" s="45">
        <f>Anexo_II_VHCM_antes_mar!M7*(1+$P$1)</f>
        <v>474.16846800000002</v>
      </c>
    </row>
    <row r="8" spans="1:16" x14ac:dyDescent="0.25">
      <c r="A8" s="229"/>
      <c r="B8" s="2">
        <v>9988.61</v>
      </c>
      <c r="C8" s="3">
        <v>0.35</v>
      </c>
      <c r="D8" s="45">
        <f>Anexo_II_VHCM_antes_mar!D8*(1+$P$1)</f>
        <v>117.60150299999999</v>
      </c>
      <c r="E8" s="45">
        <f>Anexo_II_VHCM_antes_mar!E8*(1+$P$1)</f>
        <v>141.72330150000002</v>
      </c>
      <c r="F8" s="45">
        <f>Anexo_II_VHCM_antes_mar!F8*(1+$P$1)</f>
        <v>162.97375200000002</v>
      </c>
      <c r="G8" s="45">
        <f>Anexo_II_VHCM_antes_mar!G8*(1+$P$1)</f>
        <v>179.27360250000001</v>
      </c>
      <c r="H8" s="45">
        <f>Anexo_II_VHCM_antes_mar!H8*(1+$P$1)</f>
        <v>197.20715100000004</v>
      </c>
      <c r="I8" s="45">
        <f>Anexo_II_VHCM_antes_mar!I8*(1+$P$1)</f>
        <v>280.61238450000002</v>
      </c>
      <c r="J8" s="45">
        <f>Anexo_II_VHCM_antes_mar!J8*(1+$P$1)</f>
        <v>336.73981200000003</v>
      </c>
      <c r="K8" s="45">
        <f>Anexo_II_VHCM_antes_mar!K8*(1+$P$1)</f>
        <v>370.40389200000004</v>
      </c>
      <c r="L8" s="45">
        <f>Anexo_II_VHCM_antes_mar!L8*(1+$P$1)</f>
        <v>444.489621</v>
      </c>
      <c r="M8" s="45">
        <f>Anexo_II_VHCM_antes_mar!M8*(1+$P$1)</f>
        <v>533.39002050000011</v>
      </c>
    </row>
    <row r="9" spans="1:16" x14ac:dyDescent="0.25">
      <c r="A9" s="229"/>
      <c r="B9" s="2">
        <v>14982.91</v>
      </c>
      <c r="C9" s="3">
        <v>0.39</v>
      </c>
      <c r="D9" s="45">
        <f>Anexo_II_VHCM_antes_mar!D9*(1+$P$1)</f>
        <v>143.67878850000002</v>
      </c>
      <c r="E9" s="45">
        <f>Anexo_II_VHCM_antes_mar!E9*(1+$P$1)</f>
        <v>173.14723500000002</v>
      </c>
      <c r="F9" s="45">
        <f>Anexo_II_VHCM_antes_mar!F9*(1+$P$1)</f>
        <v>199.1255085</v>
      </c>
      <c r="G9" s="45">
        <f>Anexo_II_VHCM_antes_mar!G9*(1+$P$1)</f>
        <v>219.039297</v>
      </c>
      <c r="H9" s="45">
        <f>Anexo_II_VHCM_antes_mar!H9*(1+$P$1)</f>
        <v>240.9333255</v>
      </c>
      <c r="I9" s="45">
        <f>Anexo_II_VHCM_antes_mar!I9*(1+$P$1)</f>
        <v>342.84142650000001</v>
      </c>
      <c r="J9" s="45">
        <f>Anexo_II_VHCM_antes_mar!J9*(1+$P$1)</f>
        <v>411.41961300000008</v>
      </c>
      <c r="K9" s="45">
        <f>Anexo_II_VHCM_antes_mar!K9*(1+$P$1)</f>
        <v>452.55909900000006</v>
      </c>
      <c r="L9" s="45">
        <f>Anexo_II_VHCM_antes_mar!L9*(1+$P$1)</f>
        <v>543.06844350000006</v>
      </c>
      <c r="M9" s="45">
        <f>Anexo_II_VHCM_antes_mar!M9*(1+$P$1)</f>
        <v>651.68460749999997</v>
      </c>
    </row>
    <row r="10" spans="1:16" x14ac:dyDescent="0.25">
      <c r="A10" s="229"/>
      <c r="B10" s="2">
        <v>19977.22</v>
      </c>
      <c r="C10" s="3">
        <v>0.42</v>
      </c>
      <c r="D10" s="45">
        <f>Anexo_II_VHCM_antes_mar!D10*(1+$P$1)</f>
        <v>161.7237255</v>
      </c>
      <c r="E10" s="45">
        <f>Anexo_II_VHCM_antes_mar!E10*(1+$P$1)</f>
        <v>194.89274550000002</v>
      </c>
      <c r="F10" s="45">
        <f>Anexo_II_VHCM_antes_mar!F10*(1+$P$1)</f>
        <v>224.12603850000002</v>
      </c>
      <c r="G10" s="45">
        <f>Anexo_II_VHCM_antes_mar!G10*(1+$P$1)</f>
        <v>246.52750350000002</v>
      </c>
      <c r="H10" s="45">
        <f>Anexo_II_VHCM_antes_mar!H10*(1+$P$1)</f>
        <v>271.18149150000005</v>
      </c>
      <c r="I10" s="45">
        <f>Anexo_II_VHCM_antes_mar!I10*(1+$P$1)</f>
        <v>385.8868935000001</v>
      </c>
      <c r="J10" s="45">
        <f>Anexo_II_VHCM_antes_mar!J10*(1+$P$1)</f>
        <v>463.06674750000002</v>
      </c>
      <c r="K10" s="45">
        <f>Anexo_II_VHCM_antes_mar!K10*(1+$P$1)</f>
        <v>509.37961050000001</v>
      </c>
      <c r="L10" s="45">
        <f>Anexo_II_VHCM_antes_mar!L10*(1+$P$1)</f>
        <v>611.25058200000001</v>
      </c>
      <c r="M10" s="45">
        <f>Anexo_II_VHCM_antes_mar!M10*(1+$P$1)</f>
        <v>733.49327249999999</v>
      </c>
    </row>
    <row r="11" spans="1:16" x14ac:dyDescent="0.25">
      <c r="A11" s="229"/>
      <c r="B11" s="2">
        <v>23514.85</v>
      </c>
      <c r="C11" s="3">
        <v>0.46</v>
      </c>
      <c r="D11" s="45">
        <f>Anexo_II_VHCM_antes_mar!D11*(1+$P$1)</f>
        <v>197.90023500000004</v>
      </c>
      <c r="E11" s="45">
        <f>Anexo_II_VHCM_antes_mar!E11*(1+$P$1)</f>
        <v>238.29713100000001</v>
      </c>
      <c r="F11" s="45">
        <f>Anexo_II_VHCM_antes_mar!F11*(1+$P$1)</f>
        <v>274.04046300000005</v>
      </c>
      <c r="G11" s="45">
        <f>Anexo_II_VHCM_antes_mar!G11*(1+$P$1)</f>
        <v>301.44203400000004</v>
      </c>
      <c r="H11" s="45">
        <f>Anexo_II_VHCM_antes_mar!H11*(1+$P$1)</f>
        <v>331.59118800000005</v>
      </c>
      <c r="I11" s="45">
        <f>Anexo_II_VHCM_antes_mar!I11*(1+$P$1)</f>
        <v>471.84168600000004</v>
      </c>
      <c r="J11" s="45">
        <f>Anexo_II_VHCM_antes_mar!J11*(1+$P$1)</f>
        <v>566.21249850000004</v>
      </c>
      <c r="K11" s="45">
        <f>Anexo_II_VHCM_antes_mar!K11*(1+$P$1)</f>
        <v>622.82260950000011</v>
      </c>
      <c r="L11" s="45">
        <f>Anexo_II_VHCM_antes_mar!L11*(1+$P$1)</f>
        <v>747.39208200000007</v>
      </c>
      <c r="M11" s="45">
        <f>Anexo_II_VHCM_antes_mar!M11*(1+$P$1)</f>
        <v>896.875449</v>
      </c>
    </row>
    <row r="12" spans="1:16" x14ac:dyDescent="0.25">
      <c r="A12" s="229"/>
      <c r="B12" s="2">
        <v>27052.48</v>
      </c>
      <c r="C12" s="3">
        <v>0.48</v>
      </c>
      <c r="D12" s="45">
        <f>Anexo_II_VHCM_antes_mar!D12*(1+$P$1)</f>
        <v>217.62837600000003</v>
      </c>
      <c r="E12" s="45">
        <f>Anexo_II_VHCM_antes_mar!E12*(1+$P$1)</f>
        <v>262.1218935</v>
      </c>
      <c r="F12" s="45">
        <f>Anexo_II_VHCM_antes_mar!F12*(1+$P$1)</f>
        <v>301.44203400000004</v>
      </c>
      <c r="G12" s="45">
        <f>Anexo_II_VHCM_antes_mar!G12*(1+$P$1)</f>
        <v>331.59118800000005</v>
      </c>
      <c r="H12" s="45">
        <f>Anexo_II_VHCM_antes_mar!H12*(1+$P$1)</f>
        <v>364.74783150000002</v>
      </c>
      <c r="I12" s="45">
        <f>Anexo_II_VHCM_antes_mar!I12*(1+$P$1)</f>
        <v>519.02090400000009</v>
      </c>
      <c r="J12" s="45">
        <f>Anexo_II_VHCM_antes_mar!J12*(1+$P$1)</f>
        <v>622.82260950000011</v>
      </c>
      <c r="K12" s="45">
        <f>Anexo_II_VHCM_antes_mar!K12*(1+$P$1)</f>
        <v>685.11353399999996</v>
      </c>
      <c r="L12" s="45">
        <f>Anexo_II_VHCM_antes_mar!L12*(1+$P$1)</f>
        <v>822.13376549999998</v>
      </c>
      <c r="M12" s="45">
        <f>Anexo_II_VHCM_antes_mar!M12*(1+$P$1)</f>
        <v>986.55556800000011</v>
      </c>
    </row>
    <row r="13" spans="1:16" x14ac:dyDescent="0.25">
      <c r="A13" s="229"/>
      <c r="B13" s="2">
        <v>31214.400000000001</v>
      </c>
      <c r="C13" s="3">
        <v>0.5</v>
      </c>
      <c r="D13" s="45">
        <f>Anexo_II_VHCM_antes_mar!D13*(1+$P$1)</f>
        <v>251.87415150000001</v>
      </c>
      <c r="E13" s="45">
        <f>Anexo_II_VHCM_antes_mar!E13*(1+$P$1)</f>
        <v>288.33532050000002</v>
      </c>
      <c r="F13" s="45">
        <f>Anexo_II_VHCM_antes_mar!F13*(1+$P$1)</f>
        <v>331.59118800000005</v>
      </c>
      <c r="G13" s="45">
        <f>Anexo_II_VHCM_antes_mar!G13*(1+$P$1)</f>
        <v>364.74783150000002</v>
      </c>
      <c r="H13" s="45">
        <f>Anexo_II_VHCM_antes_mar!H13*(1+$P$1)</f>
        <v>401.22137700000002</v>
      </c>
      <c r="I13" s="45">
        <f>Anexo_II_VHCM_antes_mar!I13*(1+$P$1)</f>
        <v>570.92794500000002</v>
      </c>
      <c r="J13" s="45">
        <f>Anexo_II_VHCM_antes_mar!J13*(1+$P$1)</f>
        <v>685.11353399999996</v>
      </c>
      <c r="K13" s="45">
        <f>Anexo_II_VHCM_antes_mar!K13*(1+$P$1)</f>
        <v>753.6174615000001</v>
      </c>
      <c r="L13" s="45">
        <f>Anexo_II_VHCM_antes_mar!L13*(1+$P$1)</f>
        <v>904.35085500000014</v>
      </c>
      <c r="M13" s="45">
        <f>Anexo_II_VHCM_antes_mar!M13*(1+$P$1)</f>
        <v>1085.2210260000002</v>
      </c>
    </row>
    <row r="14" spans="1:16" x14ac:dyDescent="0.25">
      <c r="A14" s="229"/>
      <c r="B14" s="2">
        <v>37457.279999999999</v>
      </c>
      <c r="C14" s="3">
        <v>0.5</v>
      </c>
      <c r="D14" s="45">
        <f>Anexo_II_VHCM_antes_mar!D14*(1+$P$1)</f>
        <v>302.74156650000003</v>
      </c>
      <c r="E14" s="45">
        <f>Anexo_II_VHCM_antes_mar!E14*(1+$P$1)</f>
        <v>330.40304400000002</v>
      </c>
      <c r="F14" s="45">
        <f>Anexo_II_VHCM_antes_mar!F14*(1+$P$1)</f>
        <v>364.74783150000002</v>
      </c>
      <c r="G14" s="45">
        <f>Anexo_II_VHCM_antes_mar!G14*(1+$P$1)</f>
        <v>401.22137700000002</v>
      </c>
      <c r="H14" s="45">
        <f>Anexo_II_VHCM_antes_mar!H14*(1+$P$1)</f>
        <v>441.34599000000009</v>
      </c>
      <c r="I14" s="45">
        <f>Anexo_II_VHCM_antes_mar!I14*(1+$P$1)</f>
        <v>628.0207395000001</v>
      </c>
      <c r="J14" s="45">
        <f>Anexo_II_VHCM_antes_mar!J14*(1+$P$1)</f>
        <v>753.6174615000001</v>
      </c>
      <c r="K14" s="45">
        <f>Anexo_II_VHCM_antes_mar!K14*(1+$P$1)</f>
        <v>828.97797000000003</v>
      </c>
      <c r="L14" s="45">
        <f>Anexo_II_VHCM_antes_mar!L14*(1+$P$1)</f>
        <v>994.78594050000004</v>
      </c>
      <c r="M14" s="45">
        <f>Anexo_II_VHCM_antes_mar!M14*(1+$P$1)</f>
        <v>1193.7381780000001</v>
      </c>
    </row>
    <row r="15" spans="1:16" x14ac:dyDescent="0.25">
      <c r="A15" s="123" t="s">
        <v>14</v>
      </c>
      <c r="B15" s="2">
        <v>37457.279999999999</v>
      </c>
      <c r="C15" s="3">
        <v>0.5</v>
      </c>
      <c r="D15" s="45">
        <f>Anexo_II_VHCM_antes_mar!D15*(1+$P$1)</f>
        <v>364.20326549999999</v>
      </c>
      <c r="E15" s="45">
        <f>Anexo_II_VHCM_antes_mar!E15*(1+$P$1)</f>
        <v>397.40941500000002</v>
      </c>
      <c r="F15" s="45">
        <f>Anexo_II_VHCM_antes_mar!F15*(1+$P$1)</f>
        <v>430.60318800000005</v>
      </c>
      <c r="G15" s="45">
        <f>Anexo_II_VHCM_antes_mar!G15*(1+$P$1)</f>
        <v>463.87122000000011</v>
      </c>
      <c r="H15" s="45">
        <f>Anexo_II_VHCM_antes_mar!H15*(1+$P$1)</f>
        <v>497.02786350000002</v>
      </c>
      <c r="I15" s="45">
        <f>Anexo_II_VHCM_antes_mar!I15*(1+$P$1)</f>
        <v>690.81910049999999</v>
      </c>
      <c r="J15" s="45">
        <f>Anexo_II_VHCM_antes_mar!J15*(1+$P$1)</f>
        <v>828.97797000000003</v>
      </c>
      <c r="K15" s="45">
        <f>Anexo_II_VHCM_antes_mar!K15*(1+$P$1)</f>
        <v>911.88814349999996</v>
      </c>
      <c r="L15" s="45">
        <f>Anexo_II_VHCM_antes_mar!L15*(1+$P$1)</f>
        <v>1094.2558710000001</v>
      </c>
      <c r="M15" s="45">
        <f>Anexo_II_VHCM_antes_mar!M15*(1+$P$1)</f>
        <v>1313.1095205000001</v>
      </c>
    </row>
    <row r="16" spans="1:16" x14ac:dyDescent="0.25">
      <c r="A16" s="123" t="s">
        <v>16</v>
      </c>
      <c r="B16" s="123">
        <v>450</v>
      </c>
      <c r="C16" s="3">
        <v>0.5</v>
      </c>
      <c r="D16" s="123" t="s">
        <v>15</v>
      </c>
      <c r="E16" s="123" t="s">
        <v>15</v>
      </c>
      <c r="F16" s="123" t="s">
        <v>15</v>
      </c>
      <c r="G16" s="123" t="s">
        <v>15</v>
      </c>
      <c r="H16" s="123" t="s">
        <v>15</v>
      </c>
      <c r="I16" s="123" t="s">
        <v>15</v>
      </c>
      <c r="J16" s="123" t="s">
        <v>15</v>
      </c>
      <c r="K16" s="123" t="s">
        <v>15</v>
      </c>
      <c r="L16" s="123" t="s">
        <v>15</v>
      </c>
      <c r="M16" s="123" t="s">
        <v>15</v>
      </c>
    </row>
  </sheetData>
  <sheetProtection algorithmName="SHA-512" hashValue="47ay6+9Dooou2qa7psdJckmyq4uNnfO+2TkBxIXjQNhzEd+zeeqmWdb1os9Z0nG+7GifpnV7SM54dKLQmeK/pw==" saltValue="phY91fEUIUBVWLWoJl+qcQ==" spinCount="100000" sheet="1" objects="1" scenarios="1"/>
  <mergeCells count="5">
    <mergeCell ref="A1:M1"/>
    <mergeCell ref="A2:B3"/>
    <mergeCell ref="C2:C3"/>
    <mergeCell ref="D2:M2"/>
    <mergeCell ref="A4:A1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6918C-FCCD-4D65-9A5B-09EE84314DA1}">
  <sheetPr codeName="Planilha1"/>
  <dimension ref="A1:S40"/>
  <sheetViews>
    <sheetView zoomScale="80" zoomScaleNormal="80" workbookViewId="0">
      <selection activeCell="C20" sqref="C20"/>
    </sheetView>
  </sheetViews>
  <sheetFormatPr defaultRowHeight="15" x14ac:dyDescent="0.25"/>
  <cols>
    <col min="1" max="1" width="40.28515625" style="15" customWidth="1"/>
    <col min="2" max="2" width="25.7109375" style="17" customWidth="1"/>
    <col min="3" max="3" width="25.7109375" style="16" customWidth="1"/>
    <col min="4" max="4" width="24.5703125" style="16" customWidth="1"/>
    <col min="5" max="5" width="35.28515625" style="16" customWidth="1"/>
    <col min="6" max="6" width="21.5703125" style="16" bestFit="1" customWidth="1"/>
    <col min="7" max="7" width="9.140625" style="16"/>
    <col min="8" max="8" width="17.140625" style="17" hidden="1" customWidth="1"/>
    <col min="10" max="10" width="21.5703125" style="16" hidden="1" customWidth="1"/>
    <col min="11" max="11" width="21.5703125" style="16" customWidth="1"/>
    <col min="12" max="12" width="13.7109375" style="16" customWidth="1"/>
    <col min="13" max="13" width="14.85546875" style="16" bestFit="1" customWidth="1"/>
    <col min="14" max="19" width="9.140625" style="16"/>
  </cols>
  <sheetData>
    <row r="1" spans="1:19" ht="15" customHeight="1" thickBot="1" x14ac:dyDescent="0.3">
      <c r="A1" s="32" t="s">
        <v>105</v>
      </c>
      <c r="B1" s="124" t="s">
        <v>91</v>
      </c>
      <c r="C1" s="138"/>
      <c r="D1" s="175" t="s">
        <v>75</v>
      </c>
      <c r="E1" s="176"/>
      <c r="F1" s="177"/>
      <c r="G1" s="138"/>
      <c r="H1" s="139" t="s">
        <v>24</v>
      </c>
      <c r="I1" s="111"/>
      <c r="J1" s="140" t="s">
        <v>90</v>
      </c>
      <c r="K1" s="138"/>
      <c r="L1" s="138"/>
      <c r="M1" s="141"/>
      <c r="N1" s="138"/>
      <c r="O1" s="138"/>
    </row>
    <row r="2" spans="1:19" ht="45" customHeight="1" thickBot="1" x14ac:dyDescent="0.3">
      <c r="A2" s="34" t="s">
        <v>55</v>
      </c>
      <c r="B2" s="125">
        <v>100</v>
      </c>
      <c r="C2" s="138"/>
      <c r="D2" s="178">
        <v>2020</v>
      </c>
      <c r="E2" s="91" t="s">
        <v>103</v>
      </c>
      <c r="F2" s="94">
        <f>F10</f>
        <v>114666.66666666667</v>
      </c>
      <c r="G2" s="138"/>
      <c r="H2" s="142"/>
      <c r="I2" s="111"/>
      <c r="J2" s="143" t="s">
        <v>86</v>
      </c>
      <c r="K2" s="138"/>
      <c r="L2" s="138"/>
      <c r="M2" s="141"/>
      <c r="N2" s="138"/>
      <c r="O2" s="138"/>
    </row>
    <row r="3" spans="1:19" s="93" customFormat="1" ht="30" customHeight="1" thickBot="1" x14ac:dyDescent="0.3">
      <c r="A3" s="144"/>
      <c r="B3" s="145"/>
      <c r="C3" s="146"/>
      <c r="D3" s="179"/>
      <c r="E3" s="99" t="s">
        <v>58</v>
      </c>
      <c r="F3" s="136">
        <f>F2</f>
        <v>114666.66666666667</v>
      </c>
      <c r="G3" s="146"/>
      <c r="H3" s="147" t="s">
        <v>0</v>
      </c>
      <c r="I3" s="148"/>
      <c r="J3" s="143" t="s">
        <v>87</v>
      </c>
      <c r="K3" s="146"/>
      <c r="L3" s="146"/>
      <c r="M3" s="149"/>
      <c r="N3" s="146"/>
      <c r="O3" s="146"/>
      <c r="P3" s="92"/>
      <c r="Q3" s="92"/>
      <c r="R3" s="92"/>
      <c r="S3" s="92"/>
    </row>
    <row r="4" spans="1:19" s="7" customFormat="1" ht="45" customHeight="1" thickBot="1" x14ac:dyDescent="0.3">
      <c r="A4" s="150"/>
      <c r="B4" s="151"/>
      <c r="C4" s="150"/>
      <c r="D4" s="96">
        <v>2021</v>
      </c>
      <c r="E4" s="98" t="s">
        <v>84</v>
      </c>
      <c r="F4" s="95">
        <f>(F3*8/12)+((F3*(1+C25))*4/12)</f>
        <v>115813.33333333334</v>
      </c>
      <c r="G4" s="152"/>
      <c r="H4" s="147" t="s">
        <v>1</v>
      </c>
      <c r="I4" s="153"/>
      <c r="J4" s="143" t="s">
        <v>88</v>
      </c>
      <c r="K4" s="152"/>
      <c r="L4" s="152"/>
      <c r="M4" s="152"/>
      <c r="N4" s="152"/>
      <c r="O4" s="152"/>
      <c r="P4" s="50"/>
      <c r="Q4" s="50"/>
      <c r="R4" s="50"/>
      <c r="S4" s="50"/>
    </row>
    <row r="5" spans="1:19" ht="30" customHeight="1" thickBot="1" x14ac:dyDescent="0.3">
      <c r="A5" s="42" t="s">
        <v>47</v>
      </c>
      <c r="B5" s="135" t="s">
        <v>98</v>
      </c>
      <c r="C5" s="155"/>
      <c r="D5" s="97">
        <v>2022</v>
      </c>
      <c r="E5" s="99" t="s">
        <v>83</v>
      </c>
      <c r="F5" s="100">
        <f>(F4*8/12)+((F4*(1+C26))*4/12)</f>
        <v>117164.48888888888</v>
      </c>
      <c r="G5" s="156"/>
      <c r="H5" s="157" t="s">
        <v>2</v>
      </c>
      <c r="I5" s="111"/>
      <c r="J5" s="143" t="s">
        <v>89</v>
      </c>
      <c r="K5" s="138"/>
      <c r="L5" s="138"/>
      <c r="M5" s="138"/>
      <c r="N5" s="138"/>
      <c r="O5" s="138"/>
    </row>
    <row r="6" spans="1:19" x14ac:dyDescent="0.25">
      <c r="A6" s="35" t="s">
        <v>45</v>
      </c>
      <c r="B6" s="126" t="s">
        <v>6</v>
      </c>
      <c r="C6" s="158"/>
      <c r="D6" s="158"/>
      <c r="E6" s="158"/>
      <c r="F6" s="156"/>
      <c r="G6" s="156"/>
      <c r="H6" s="157" t="s">
        <v>3</v>
      </c>
      <c r="I6" s="111"/>
      <c r="J6" s="143" t="s">
        <v>91</v>
      </c>
      <c r="K6" s="138"/>
      <c r="L6" s="138"/>
      <c r="M6" s="138"/>
      <c r="N6" s="138"/>
      <c r="O6" s="138"/>
    </row>
    <row r="7" spans="1:19" ht="15.75" thickBot="1" x14ac:dyDescent="0.3">
      <c r="A7" s="36" t="s">
        <v>23</v>
      </c>
      <c r="B7" s="126" t="s">
        <v>6</v>
      </c>
      <c r="C7" s="158"/>
      <c r="D7" s="138"/>
      <c r="E7" s="158"/>
      <c r="F7" s="156"/>
      <c r="G7" s="156"/>
      <c r="H7" s="157" t="s">
        <v>4</v>
      </c>
      <c r="I7" s="111"/>
      <c r="J7" s="143" t="s">
        <v>92</v>
      </c>
      <c r="K7" s="138"/>
      <c r="L7" s="138"/>
      <c r="M7" s="138"/>
      <c r="N7" s="138"/>
      <c r="O7" s="138"/>
    </row>
    <row r="8" spans="1:19" ht="15.75" thickBot="1" x14ac:dyDescent="0.3">
      <c r="A8" s="36" t="s">
        <v>25</v>
      </c>
      <c r="B8" s="126"/>
      <c r="C8" s="158"/>
      <c r="D8" s="186" t="s">
        <v>102</v>
      </c>
      <c r="E8" s="187"/>
      <c r="F8" s="188"/>
      <c r="G8" s="156"/>
      <c r="H8" s="157" t="s">
        <v>5</v>
      </c>
      <c r="I8" s="111"/>
      <c r="J8" s="143" t="s">
        <v>93</v>
      </c>
      <c r="K8" s="138"/>
      <c r="L8" s="138"/>
      <c r="M8" s="138"/>
      <c r="N8" s="138"/>
      <c r="O8" s="138"/>
    </row>
    <row r="9" spans="1:19" ht="15.75" thickBot="1" x14ac:dyDescent="0.3">
      <c r="A9" s="36" t="s">
        <v>26</v>
      </c>
      <c r="B9" s="126"/>
      <c r="C9" s="158"/>
      <c r="D9" s="182" t="s">
        <v>74</v>
      </c>
      <c r="E9" s="183"/>
      <c r="F9" s="137">
        <v>8000</v>
      </c>
      <c r="G9" s="156"/>
      <c r="H9" s="157" t="s">
        <v>6</v>
      </c>
      <c r="I9" s="111"/>
      <c r="J9" s="143" t="s">
        <v>94</v>
      </c>
      <c r="K9" s="138"/>
      <c r="L9" s="138"/>
      <c r="M9" s="138"/>
      <c r="N9" s="138"/>
      <c r="O9" s="138"/>
    </row>
    <row r="10" spans="1:19" ht="15.75" thickBot="1" x14ac:dyDescent="0.3">
      <c r="A10" s="36" t="s">
        <v>27</v>
      </c>
      <c r="B10" s="126"/>
      <c r="C10" s="158"/>
      <c r="D10" s="184" t="s">
        <v>76</v>
      </c>
      <c r="E10" s="185"/>
      <c r="F10" s="117">
        <f>(13+4/3)*F9</f>
        <v>114666.66666666667</v>
      </c>
      <c r="G10" s="156"/>
      <c r="H10" s="157" t="s">
        <v>7</v>
      </c>
      <c r="I10" s="111"/>
      <c r="J10" s="143" t="s">
        <v>95</v>
      </c>
      <c r="K10" s="138"/>
      <c r="L10" s="138"/>
      <c r="M10" s="138"/>
      <c r="N10" s="138"/>
      <c r="O10" s="138"/>
    </row>
    <row r="11" spans="1:19" x14ac:dyDescent="0.25">
      <c r="A11" s="36" t="s">
        <v>28</v>
      </c>
      <c r="B11" s="126"/>
      <c r="C11" s="158"/>
      <c r="D11" s="138"/>
      <c r="E11" s="138"/>
      <c r="F11" s="156"/>
      <c r="G11" s="156"/>
      <c r="H11" s="157" t="s">
        <v>8</v>
      </c>
      <c r="I11" s="111"/>
      <c r="J11" s="143" t="s">
        <v>96</v>
      </c>
      <c r="K11" s="138"/>
      <c r="L11" s="138"/>
      <c r="M11" s="138"/>
      <c r="N11" s="138"/>
      <c r="O11" s="138"/>
    </row>
    <row r="12" spans="1:19" ht="15.75" thickBot="1" x14ac:dyDescent="0.3">
      <c r="A12" s="36" t="s">
        <v>29</v>
      </c>
      <c r="B12" s="126"/>
      <c r="C12" s="158"/>
      <c r="D12" s="158"/>
      <c r="E12" s="158"/>
      <c r="F12" s="156"/>
      <c r="G12" s="156"/>
      <c r="H12" s="159" t="s">
        <v>54</v>
      </c>
      <c r="I12" s="111"/>
      <c r="J12" s="143" t="s">
        <v>100</v>
      </c>
      <c r="K12" s="138"/>
      <c r="L12" s="138"/>
      <c r="M12" s="138"/>
      <c r="N12" s="138"/>
      <c r="O12" s="138"/>
    </row>
    <row r="13" spans="1:19" ht="15.75" thickBot="1" x14ac:dyDescent="0.3">
      <c r="A13" s="36" t="s">
        <v>30</v>
      </c>
      <c r="B13" s="126"/>
      <c r="C13" s="158"/>
      <c r="D13" s="158"/>
      <c r="E13" s="158"/>
      <c r="F13" s="156"/>
      <c r="G13" s="156"/>
      <c r="H13" s="160"/>
      <c r="I13" s="132"/>
      <c r="J13" s="161" t="s">
        <v>97</v>
      </c>
      <c r="K13" s="138"/>
      <c r="L13" s="138"/>
      <c r="M13" s="138"/>
      <c r="N13" s="138"/>
      <c r="O13" s="138"/>
      <c r="S13"/>
    </row>
    <row r="14" spans="1:19" x14ac:dyDescent="0.25">
      <c r="A14" s="36" t="s">
        <v>31</v>
      </c>
      <c r="B14" s="126"/>
      <c r="C14" s="158"/>
      <c r="D14" s="158"/>
      <c r="E14" s="158"/>
      <c r="F14" s="156"/>
      <c r="G14" s="156"/>
      <c r="H14" s="162"/>
      <c r="I14" s="132"/>
      <c r="J14" s="138"/>
      <c r="K14" s="138"/>
      <c r="L14" s="138"/>
      <c r="M14" s="138"/>
      <c r="N14" s="138"/>
      <c r="O14" s="138"/>
      <c r="S14"/>
    </row>
    <row r="15" spans="1:19" x14ac:dyDescent="0.25">
      <c r="A15" s="36" t="s">
        <v>32</v>
      </c>
      <c r="B15" s="126"/>
      <c r="C15" s="158"/>
      <c r="D15" s="158"/>
      <c r="E15" s="158"/>
      <c r="F15" s="156"/>
      <c r="G15" s="156"/>
      <c r="H15" s="162"/>
      <c r="I15" s="132"/>
      <c r="J15" s="138"/>
      <c r="K15" s="138"/>
      <c r="L15" s="138"/>
      <c r="M15" s="138"/>
      <c r="N15" s="138"/>
      <c r="O15" s="138"/>
      <c r="S15"/>
    </row>
    <row r="16" spans="1:19" ht="15.75" thickBot="1" x14ac:dyDescent="0.3">
      <c r="A16" s="47" t="s">
        <v>33</v>
      </c>
      <c r="B16" s="127"/>
      <c r="C16" s="158"/>
      <c r="D16" s="158"/>
      <c r="E16" s="158"/>
      <c r="F16" s="156"/>
      <c r="G16" s="156"/>
      <c r="H16" s="163"/>
      <c r="I16" s="132"/>
      <c r="J16" s="138"/>
      <c r="K16" s="138"/>
      <c r="L16" s="138"/>
      <c r="M16" s="138"/>
      <c r="N16" s="138"/>
      <c r="O16" s="138"/>
      <c r="S16"/>
    </row>
    <row r="17" spans="1:19" x14ac:dyDescent="0.25">
      <c r="A17" s="20"/>
      <c r="B17" s="19"/>
      <c r="C17" s="158"/>
      <c r="D17" s="158"/>
      <c r="E17" s="158"/>
      <c r="F17" s="164"/>
      <c r="G17" s="156"/>
      <c r="H17" s="163"/>
      <c r="I17" s="132"/>
      <c r="J17" s="138"/>
      <c r="K17" s="138"/>
      <c r="L17" s="138"/>
      <c r="M17" s="138"/>
      <c r="N17" s="138"/>
      <c r="O17" s="138"/>
      <c r="S17"/>
    </row>
    <row r="18" spans="1:19" ht="15.75" thickBot="1" x14ac:dyDescent="0.3">
      <c r="A18" s="20"/>
      <c r="B18" s="19"/>
      <c r="C18" s="158"/>
      <c r="D18" s="158"/>
      <c r="E18" s="158"/>
      <c r="F18" s="165"/>
      <c r="G18" s="156"/>
      <c r="H18" s="163"/>
      <c r="I18" s="132"/>
      <c r="J18" s="138"/>
      <c r="K18" s="138"/>
      <c r="L18" s="138"/>
      <c r="M18" s="138"/>
      <c r="N18" s="138"/>
      <c r="O18" s="138"/>
      <c r="S18"/>
    </row>
    <row r="19" spans="1:19" s="7" customFormat="1" ht="30" customHeight="1" thickBot="1" x14ac:dyDescent="0.3">
      <c r="A19" s="51" t="s">
        <v>56</v>
      </c>
      <c r="B19" s="43" t="s">
        <v>57</v>
      </c>
      <c r="C19" s="54" t="s">
        <v>58</v>
      </c>
      <c r="D19" s="166"/>
      <c r="E19" s="166"/>
      <c r="F19" s="165"/>
      <c r="G19" s="166"/>
      <c r="H19" s="167"/>
      <c r="I19" s="154"/>
      <c r="J19" s="152"/>
      <c r="K19" s="152"/>
      <c r="L19" s="152"/>
      <c r="M19" s="152"/>
      <c r="N19" s="152"/>
      <c r="O19" s="152"/>
      <c r="P19" s="50"/>
      <c r="Q19" s="50"/>
      <c r="R19" s="50"/>
    </row>
    <row r="20" spans="1:19" x14ac:dyDescent="0.25">
      <c r="A20" s="33">
        <v>2021</v>
      </c>
      <c r="B20" s="52">
        <v>0.11</v>
      </c>
      <c r="C20" s="128">
        <f>B20</f>
        <v>0.11</v>
      </c>
      <c r="D20" s="138"/>
      <c r="E20" s="156"/>
      <c r="F20" s="165"/>
      <c r="G20" s="156"/>
      <c r="H20" s="163"/>
      <c r="I20" s="132"/>
      <c r="J20" s="138"/>
      <c r="K20" s="138"/>
      <c r="L20" s="138"/>
      <c r="M20" s="138"/>
      <c r="N20" s="138"/>
      <c r="O20" s="138"/>
      <c r="S20"/>
    </row>
    <row r="21" spans="1:19" ht="15.75" thickBot="1" x14ac:dyDescent="0.3">
      <c r="A21" s="34">
        <v>2022</v>
      </c>
      <c r="B21" s="53">
        <v>0.115</v>
      </c>
      <c r="C21" s="129">
        <f>B21</f>
        <v>0.115</v>
      </c>
      <c r="D21" s="138"/>
      <c r="E21" s="156"/>
      <c r="F21" s="165"/>
      <c r="G21" s="156"/>
      <c r="H21" s="163"/>
      <c r="I21" s="132"/>
      <c r="J21" s="138"/>
      <c r="K21" s="138"/>
      <c r="L21" s="138"/>
      <c r="M21" s="138"/>
      <c r="N21" s="138"/>
      <c r="O21" s="138"/>
      <c r="S21"/>
    </row>
    <row r="22" spans="1:19" x14ac:dyDescent="0.25">
      <c r="A22" s="168"/>
      <c r="B22" s="162"/>
      <c r="C22" s="138"/>
      <c r="D22" s="138"/>
      <c r="E22" s="156"/>
      <c r="F22" s="165"/>
      <c r="G22" s="156"/>
      <c r="H22" s="163"/>
      <c r="I22" s="132"/>
      <c r="J22" s="138"/>
      <c r="K22" s="138"/>
      <c r="L22" s="138"/>
      <c r="M22" s="138"/>
      <c r="N22" s="138"/>
      <c r="O22" s="138"/>
      <c r="S22"/>
    </row>
    <row r="23" spans="1:19" ht="15.75" thickBot="1" x14ac:dyDescent="0.3">
      <c r="A23" s="168"/>
      <c r="B23" s="162"/>
      <c r="C23" s="138"/>
      <c r="D23" s="138"/>
      <c r="E23" s="156"/>
      <c r="F23" s="165"/>
      <c r="G23" s="156"/>
      <c r="H23" s="163"/>
      <c r="I23" s="132"/>
      <c r="J23" s="138"/>
      <c r="K23" s="138"/>
      <c r="L23" s="138"/>
      <c r="M23" s="138"/>
      <c r="N23" s="138"/>
      <c r="O23" s="138"/>
      <c r="S23"/>
    </row>
    <row r="24" spans="1:19" ht="30.75" thickBot="1" x14ac:dyDescent="0.3">
      <c r="A24" s="51" t="s">
        <v>78</v>
      </c>
      <c r="B24" s="43" t="s">
        <v>85</v>
      </c>
      <c r="C24" s="54" t="s">
        <v>58</v>
      </c>
      <c r="D24" s="138"/>
      <c r="E24" s="156"/>
      <c r="F24" s="165"/>
      <c r="G24" s="156"/>
      <c r="H24" s="163"/>
      <c r="I24" s="132"/>
      <c r="J24" s="138"/>
      <c r="K24" s="138"/>
      <c r="L24" s="138"/>
      <c r="M24" s="138"/>
      <c r="N24" s="138"/>
      <c r="O24" s="138"/>
      <c r="S24"/>
    </row>
    <row r="25" spans="1:19" x14ac:dyDescent="0.25">
      <c r="A25" s="33">
        <v>2021</v>
      </c>
      <c r="B25" s="52">
        <v>0.03</v>
      </c>
      <c r="C25" s="128">
        <f>B25</f>
        <v>0.03</v>
      </c>
      <c r="D25" s="156"/>
      <c r="E25" s="156"/>
      <c r="F25" s="165"/>
      <c r="G25" s="156"/>
      <c r="H25" s="163"/>
      <c r="I25" s="132"/>
      <c r="J25" s="138"/>
      <c r="K25" s="138"/>
      <c r="L25" s="138"/>
      <c r="M25" s="138"/>
      <c r="N25" s="138"/>
      <c r="O25" s="138"/>
      <c r="S25"/>
    </row>
    <row r="26" spans="1:19" ht="15.75" thickBot="1" x14ac:dyDescent="0.3">
      <c r="A26" s="34">
        <v>2022</v>
      </c>
      <c r="B26" s="53">
        <v>3.5000000000000003E-2</v>
      </c>
      <c r="C26" s="129">
        <f>B26</f>
        <v>3.5000000000000003E-2</v>
      </c>
      <c r="D26" s="156"/>
      <c r="E26" s="156"/>
      <c r="F26" s="165"/>
      <c r="G26" s="156"/>
      <c r="H26" s="163"/>
      <c r="I26" s="132"/>
      <c r="J26" s="138"/>
      <c r="K26" s="138"/>
      <c r="L26" s="138"/>
      <c r="M26" s="138"/>
      <c r="N26" s="138"/>
      <c r="O26" s="138"/>
      <c r="S26"/>
    </row>
    <row r="27" spans="1:19" x14ac:dyDescent="0.25">
      <c r="A27" s="169"/>
      <c r="B27" s="163"/>
      <c r="C27" s="156"/>
      <c r="D27" s="156"/>
      <c r="E27" s="156"/>
      <c r="F27" s="165"/>
      <c r="G27" s="156"/>
      <c r="H27" s="163"/>
      <c r="I27" s="132"/>
      <c r="J27" s="138"/>
      <c r="K27" s="138"/>
      <c r="L27" s="138"/>
      <c r="M27" s="138"/>
      <c r="N27" s="138"/>
      <c r="O27" s="138"/>
      <c r="S27"/>
    </row>
    <row r="28" spans="1:19" x14ac:dyDescent="0.25">
      <c r="A28" s="169"/>
      <c r="B28" s="163"/>
      <c r="C28" s="156"/>
      <c r="D28" s="156"/>
      <c r="E28" s="156"/>
      <c r="F28" s="116"/>
      <c r="G28" s="156"/>
      <c r="H28" s="163"/>
      <c r="I28" s="132"/>
      <c r="J28" s="138"/>
      <c r="K28" s="138"/>
      <c r="L28" s="138"/>
      <c r="M28" s="138"/>
      <c r="N28" s="138"/>
      <c r="O28" s="138"/>
      <c r="S28"/>
    </row>
    <row r="29" spans="1:19" x14ac:dyDescent="0.25">
      <c r="A29" s="180"/>
      <c r="B29" s="180"/>
      <c r="C29" s="181"/>
      <c r="D29" s="181"/>
      <c r="E29" s="156"/>
      <c r="F29" s="165"/>
      <c r="G29" s="156"/>
      <c r="H29" s="163"/>
      <c r="I29" s="132"/>
      <c r="J29" s="138"/>
      <c r="K29" s="138"/>
      <c r="L29" s="138"/>
      <c r="M29" s="138"/>
      <c r="N29" s="138"/>
      <c r="O29" s="138"/>
    </row>
    <row r="30" spans="1:19" x14ac:dyDescent="0.25">
      <c r="A30" s="156"/>
      <c r="B30" s="163"/>
      <c r="C30" s="174"/>
      <c r="D30" s="174"/>
      <c r="E30" s="156"/>
      <c r="F30" s="156"/>
      <c r="G30" s="156"/>
      <c r="H30" s="163"/>
      <c r="I30" s="132"/>
      <c r="J30" s="138"/>
      <c r="K30" s="138"/>
      <c r="L30" s="138"/>
      <c r="M30" s="138"/>
      <c r="N30" s="138"/>
      <c r="O30" s="138"/>
    </row>
    <row r="31" spans="1:19" x14ac:dyDescent="0.25">
      <c r="A31" s="156"/>
      <c r="B31" s="163"/>
      <c r="C31" s="174"/>
      <c r="D31" s="174"/>
      <c r="E31" s="156"/>
      <c r="F31" s="138"/>
      <c r="G31" s="138"/>
      <c r="H31" s="162"/>
      <c r="I31" s="132"/>
      <c r="J31" s="138"/>
      <c r="K31" s="138"/>
      <c r="L31" s="138"/>
      <c r="M31" s="138"/>
      <c r="N31" s="138"/>
      <c r="O31" s="138"/>
    </row>
    <row r="32" spans="1:19" x14ac:dyDescent="0.25">
      <c r="A32" s="169"/>
      <c r="B32" s="163"/>
      <c r="C32" s="156"/>
      <c r="D32" s="156"/>
      <c r="E32" s="156"/>
      <c r="F32" s="138"/>
      <c r="G32" s="138"/>
      <c r="H32" s="162"/>
      <c r="I32" s="132"/>
      <c r="J32" s="138"/>
      <c r="K32" s="138"/>
      <c r="L32" s="138"/>
      <c r="M32" s="138"/>
      <c r="N32" s="138"/>
      <c r="O32" s="138"/>
    </row>
    <row r="33" spans="1:15" x14ac:dyDescent="0.25">
      <c r="A33" s="169"/>
      <c r="B33" s="163"/>
      <c r="C33" s="156"/>
      <c r="D33" s="156"/>
      <c r="E33" s="156"/>
      <c r="F33" s="138"/>
      <c r="G33" s="138"/>
      <c r="H33" s="162"/>
      <c r="I33" s="132"/>
      <c r="J33" s="138"/>
      <c r="K33" s="138"/>
      <c r="L33" s="138"/>
      <c r="M33" s="138"/>
      <c r="N33" s="138"/>
      <c r="O33" s="138"/>
    </row>
    <row r="34" spans="1:15" x14ac:dyDescent="0.25">
      <c r="A34" s="168"/>
      <c r="B34" s="162"/>
      <c r="C34" s="138"/>
      <c r="D34" s="138"/>
      <c r="E34" s="138"/>
      <c r="F34" s="138"/>
      <c r="G34" s="138"/>
      <c r="H34" s="162"/>
      <c r="I34" s="132"/>
      <c r="J34" s="138"/>
      <c r="K34" s="138"/>
      <c r="L34" s="138"/>
      <c r="M34" s="138"/>
      <c r="N34" s="138"/>
      <c r="O34" s="138"/>
    </row>
    <row r="35" spans="1:15" x14ac:dyDescent="0.25">
      <c r="A35" s="168"/>
      <c r="B35" s="162"/>
      <c r="C35" s="138"/>
      <c r="D35" s="138"/>
      <c r="E35" s="138"/>
      <c r="F35" s="138"/>
      <c r="G35" s="138"/>
      <c r="H35" s="162"/>
      <c r="I35" s="132"/>
      <c r="J35" s="138"/>
      <c r="K35" s="138"/>
      <c r="L35" s="138"/>
      <c r="M35" s="138"/>
      <c r="N35" s="138"/>
      <c r="O35" s="138"/>
    </row>
    <row r="36" spans="1:15" x14ac:dyDescent="0.25">
      <c r="A36" s="168"/>
      <c r="B36" s="162"/>
      <c r="C36" s="138"/>
      <c r="D36" s="138"/>
      <c r="E36" s="138"/>
      <c r="F36" s="138"/>
      <c r="G36" s="138"/>
      <c r="H36" s="162"/>
      <c r="I36" s="132"/>
      <c r="J36" s="138"/>
      <c r="K36" s="138"/>
      <c r="L36" s="138"/>
      <c r="M36" s="138"/>
      <c r="N36" s="138"/>
      <c r="O36" s="138"/>
    </row>
    <row r="37" spans="1:15" x14ac:dyDescent="0.25">
      <c r="A37" s="168"/>
      <c r="B37" s="162"/>
      <c r="C37" s="138"/>
      <c r="D37" s="138"/>
      <c r="E37" s="138"/>
      <c r="F37" s="138"/>
      <c r="G37" s="138"/>
      <c r="H37" s="162"/>
      <c r="I37" s="132"/>
      <c r="J37" s="138"/>
      <c r="K37" s="138"/>
      <c r="L37" s="138"/>
      <c r="M37" s="138"/>
      <c r="N37" s="138"/>
      <c r="O37" s="138"/>
    </row>
    <row r="38" spans="1:15" x14ac:dyDescent="0.25">
      <c r="A38" s="168"/>
      <c r="B38" s="162"/>
      <c r="C38" s="138"/>
      <c r="D38" s="138"/>
      <c r="E38" s="138"/>
      <c r="F38" s="138"/>
      <c r="G38" s="138"/>
      <c r="H38" s="162"/>
      <c r="I38" s="132"/>
      <c r="J38" s="138"/>
      <c r="K38" s="138"/>
      <c r="L38" s="138"/>
      <c r="M38" s="138"/>
      <c r="N38" s="138"/>
      <c r="O38" s="138"/>
    </row>
    <row r="39" spans="1:15" x14ac:dyDescent="0.25">
      <c r="A39" s="168"/>
      <c r="B39" s="162"/>
      <c r="C39" s="138"/>
      <c r="D39" s="138"/>
      <c r="E39" s="138"/>
      <c r="F39" s="138"/>
      <c r="G39" s="138"/>
      <c r="H39" s="162"/>
      <c r="I39" s="132"/>
      <c r="J39" s="138"/>
      <c r="K39" s="138"/>
      <c r="L39" s="138"/>
      <c r="M39" s="138"/>
      <c r="N39" s="138"/>
      <c r="O39" s="138"/>
    </row>
    <row r="40" spans="1:15" x14ac:dyDescent="0.25">
      <c r="A40" s="168"/>
      <c r="B40" s="162"/>
      <c r="C40" s="138"/>
      <c r="D40" s="138"/>
      <c r="E40" s="138"/>
      <c r="F40" s="138"/>
      <c r="G40" s="138"/>
      <c r="H40" s="162"/>
      <c r="I40" s="132"/>
      <c r="J40" s="138"/>
      <c r="K40" s="138"/>
      <c r="L40" s="138"/>
      <c r="M40" s="138"/>
      <c r="N40" s="138"/>
      <c r="O40" s="138"/>
    </row>
  </sheetData>
  <sheetProtection algorithmName="SHA-512" hashValue="oqw8u4Sai2FMVR+t97OaT4Lfh072MMfgWjJshnDJuiOu1p/T00BmbnyB0IevWOhWuhN/LI5IwrptnbCWufLDGA==" saltValue="/zF9jcGr1aS/BBEE7BmZ/Q==" spinCount="100000" sheet="1" objects="1" scenarios="1"/>
  <sortState xmlns:xlrd2="http://schemas.microsoft.com/office/spreadsheetml/2017/richdata2" ref="F18:F29">
    <sortCondition ref="F17"/>
  </sortState>
  <mergeCells count="9">
    <mergeCell ref="C31:D31"/>
    <mergeCell ref="D1:F1"/>
    <mergeCell ref="D2:D3"/>
    <mergeCell ref="A29:B29"/>
    <mergeCell ref="C29:D29"/>
    <mergeCell ref="C30:D30"/>
    <mergeCell ref="D9:E9"/>
    <mergeCell ref="D10:E10"/>
    <mergeCell ref="D8:F8"/>
  </mergeCells>
  <dataValidations count="3">
    <dataValidation type="list" allowBlank="1" showInputMessage="1" showErrorMessage="1" sqref="B7:B18" xr:uid="{2AA6F022-A89F-4877-9128-0DA72634F7A7}">
      <formula1>$H$2:$H$12</formula1>
    </dataValidation>
    <dataValidation type="list" allowBlank="1" showInputMessage="1" showErrorMessage="1" sqref="B6" xr:uid="{9CDD4690-95B3-49E4-92E0-42B09E287B57}">
      <formula1>$H$3:$H$12</formula1>
    </dataValidation>
    <dataValidation type="list" allowBlank="1" showInputMessage="1" showErrorMessage="1" sqref="B1" xr:uid="{A1F34ACC-8C41-4783-9351-E7527982268E}">
      <formula1>$J$2:$J$13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83D3A-BBEE-425F-AB15-58270FC483E9}">
  <sheetPr codeName="Planilha10"/>
  <dimension ref="A1:V34"/>
  <sheetViews>
    <sheetView zoomScale="90" zoomScaleNormal="90" workbookViewId="0">
      <selection activeCell="H8" sqref="H8"/>
    </sheetView>
  </sheetViews>
  <sheetFormatPr defaultRowHeight="15" x14ac:dyDescent="0.25"/>
  <cols>
    <col min="2" max="2" width="35.7109375" style="55" customWidth="1"/>
    <col min="3" max="3" width="15.7109375" style="7" customWidth="1"/>
    <col min="4" max="7" width="10.7109375" style="7" customWidth="1"/>
  </cols>
  <sheetData>
    <row r="1" spans="1:22" ht="45.75" thickBot="1" x14ac:dyDescent="0.3">
      <c r="A1" s="132"/>
      <c r="B1" s="86" t="s">
        <v>72</v>
      </c>
      <c r="C1" s="51">
        <v>2020</v>
      </c>
      <c r="D1" s="43" t="s">
        <v>64</v>
      </c>
      <c r="E1" s="61" t="s">
        <v>65</v>
      </c>
      <c r="F1" s="43" t="s">
        <v>66</v>
      </c>
      <c r="G1" s="54" t="s">
        <v>67</v>
      </c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</row>
    <row r="2" spans="1:22" x14ac:dyDescent="0.25">
      <c r="A2" s="132"/>
      <c r="B2" s="58" t="s">
        <v>48</v>
      </c>
      <c r="C2" s="74">
        <f ca="1">Grande_Risco!C17</f>
        <v>121.18</v>
      </c>
      <c r="D2" s="75">
        <f ca="1">Grande_Risco!D17</f>
        <v>352.4</v>
      </c>
      <c r="E2" s="76">
        <f ca="1">Grande_Risco!E17</f>
        <v>391.16399999999999</v>
      </c>
      <c r="F2" s="75">
        <f ca="1">Grande_Risco!F17</f>
        <v>604.01760000000002</v>
      </c>
      <c r="G2" s="77">
        <f ca="1">Grande_Risco!G17</f>
        <v>673.47962400000006</v>
      </c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</row>
    <row r="3" spans="1:22" ht="15.75" thickBot="1" x14ac:dyDescent="0.3">
      <c r="A3" s="132"/>
      <c r="B3" s="87" t="s">
        <v>68</v>
      </c>
      <c r="C3" s="78">
        <f>Pequeno_Risco!B2</f>
        <v>100</v>
      </c>
      <c r="D3" s="79">
        <f>Pequeno_Risco!C2</f>
        <v>133.33333333333334</v>
      </c>
      <c r="E3" s="80">
        <f>Pequeno_Risco!C2</f>
        <v>133.33333333333334</v>
      </c>
      <c r="F3" s="79">
        <f>Pequeno_Risco!D2</f>
        <v>166.66666666666669</v>
      </c>
      <c r="G3" s="81">
        <f>Pequeno_Risco!D2</f>
        <v>166.66666666666669</v>
      </c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</row>
    <row r="4" spans="1:22" ht="15.75" thickBot="1" x14ac:dyDescent="0.3">
      <c r="A4" s="132"/>
      <c r="B4" s="65" t="s">
        <v>69</v>
      </c>
      <c r="C4" s="82">
        <f ca="1">SUM(C2:C3)</f>
        <v>221.18</v>
      </c>
      <c r="D4" s="83">
        <f ca="1">SUM(D2:D3)</f>
        <v>485.73333333333335</v>
      </c>
      <c r="E4" s="84">
        <f ca="1">SUM(E2:E3)</f>
        <v>524.49733333333336</v>
      </c>
      <c r="F4" s="83">
        <f ca="1">SUM(F2:F3)</f>
        <v>770.68426666666664</v>
      </c>
      <c r="G4" s="85">
        <f ca="1">SUM(G2:G3)</f>
        <v>840.1462906666668</v>
      </c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</row>
    <row r="5" spans="1:22" ht="18" customHeight="1" thickBot="1" x14ac:dyDescent="0.3">
      <c r="A5" s="132"/>
      <c r="B5" s="211" t="s">
        <v>71</v>
      </c>
      <c r="C5" s="212"/>
      <c r="D5" s="88">
        <f ca="1">D4-$C$4</f>
        <v>264.55333333333334</v>
      </c>
      <c r="E5" s="89">
        <f ca="1">E4-$C$4</f>
        <v>303.31733333333335</v>
      </c>
      <c r="F5" s="89">
        <f ca="1">F4-$C$4</f>
        <v>549.50426666666658</v>
      </c>
      <c r="G5" s="89">
        <f ca="1">G4-$C$4</f>
        <v>618.96629066666674</v>
      </c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</row>
    <row r="6" spans="1:22" ht="18" customHeight="1" thickBot="1" x14ac:dyDescent="0.3">
      <c r="A6" s="132"/>
      <c r="B6" s="213" t="s">
        <v>63</v>
      </c>
      <c r="C6" s="214"/>
      <c r="D6" s="90">
        <f ca="1">(D4/$C$4)-1</f>
        <v>1.1960997076287789</v>
      </c>
      <c r="E6" s="90">
        <f ca="1">(E4/$C$4)-1</f>
        <v>1.3713596768845888</v>
      </c>
      <c r="F6" s="90">
        <f ca="1">(F4/$C$4)-1</f>
        <v>2.4844211351237302</v>
      </c>
      <c r="G6" s="90">
        <f ca="1">(G4/$C$4)-1</f>
        <v>2.7984731470597106</v>
      </c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</row>
    <row r="7" spans="1:22" ht="12.75" customHeight="1" x14ac:dyDescent="0.25">
      <c r="A7" s="132"/>
      <c r="B7" s="170"/>
      <c r="C7" s="154"/>
      <c r="D7" s="154"/>
      <c r="E7" s="154"/>
      <c r="F7" s="154"/>
      <c r="G7" s="154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</row>
    <row r="8" spans="1:22" ht="15.75" thickBot="1" x14ac:dyDescent="0.3">
      <c r="A8" s="171"/>
      <c r="B8" s="172"/>
      <c r="C8" s="173"/>
      <c r="D8" s="173"/>
      <c r="E8" s="173"/>
      <c r="F8" s="173"/>
      <c r="G8" s="173"/>
      <c r="H8" s="171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</row>
    <row r="9" spans="1:22" ht="15.75" thickBot="1" x14ac:dyDescent="0.3">
      <c r="A9" s="171"/>
      <c r="B9" s="86" t="s">
        <v>73</v>
      </c>
      <c r="C9" s="118">
        <v>2020</v>
      </c>
      <c r="D9" s="202">
        <v>2021</v>
      </c>
      <c r="E9" s="204"/>
      <c r="F9" s="202">
        <v>2022</v>
      </c>
      <c r="G9" s="204"/>
      <c r="H9" s="171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</row>
    <row r="10" spans="1:22" x14ac:dyDescent="0.25">
      <c r="A10" s="171"/>
      <c r="B10" s="58" t="s">
        <v>101</v>
      </c>
      <c r="C10" s="119">
        <f ca="1">13*C2</f>
        <v>1575.3400000000001</v>
      </c>
      <c r="D10" s="217">
        <f ca="1">(2*D2)+(11*E2)</f>
        <v>5007.6040000000003</v>
      </c>
      <c r="E10" s="218"/>
      <c r="F10" s="217">
        <f ca="1">(2*F2)+(11*G2)</f>
        <v>8616.3110640000014</v>
      </c>
      <c r="G10" s="218"/>
      <c r="H10" s="171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</row>
    <row r="11" spans="1:22" ht="15.75" thickBot="1" x14ac:dyDescent="0.3">
      <c r="A11" s="171"/>
      <c r="B11" s="87" t="s">
        <v>68</v>
      </c>
      <c r="C11" s="120">
        <f>12*C3</f>
        <v>1200</v>
      </c>
      <c r="D11" s="219">
        <f>12*D3</f>
        <v>1600</v>
      </c>
      <c r="E11" s="220"/>
      <c r="F11" s="219">
        <f>12*F3</f>
        <v>2000.0000000000002</v>
      </c>
      <c r="G11" s="220"/>
      <c r="H11" s="171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</row>
    <row r="12" spans="1:22" ht="19.5" thickBot="1" x14ac:dyDescent="0.3">
      <c r="A12" s="171"/>
      <c r="B12" s="65" t="s">
        <v>69</v>
      </c>
      <c r="C12" s="66">
        <f ca="1">SUM(C10:C11)</f>
        <v>2775.34</v>
      </c>
      <c r="D12" s="215">
        <f ca="1">SUM(D10:E11)</f>
        <v>6607.6040000000003</v>
      </c>
      <c r="E12" s="216"/>
      <c r="F12" s="205">
        <f ca="1">SUM(F10:G11)</f>
        <v>10616.311064000001</v>
      </c>
      <c r="G12" s="206"/>
      <c r="H12" s="171"/>
      <c r="I12" s="132"/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</row>
    <row r="13" spans="1:22" ht="30" customHeight="1" thickBot="1" x14ac:dyDescent="0.3">
      <c r="A13" s="171"/>
      <c r="B13" s="211" t="s">
        <v>108</v>
      </c>
      <c r="C13" s="212"/>
      <c r="D13" s="207">
        <f ca="1">D12-$C$12</f>
        <v>3832.2640000000001</v>
      </c>
      <c r="E13" s="208"/>
      <c r="F13" s="207">
        <f ca="1">F12-$C$12</f>
        <v>7840.9710640000012</v>
      </c>
      <c r="G13" s="208"/>
      <c r="H13" s="171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</row>
    <row r="14" spans="1:22" ht="30" customHeight="1" thickBot="1" x14ac:dyDescent="0.3">
      <c r="A14" s="171"/>
      <c r="B14" s="213" t="s">
        <v>107</v>
      </c>
      <c r="C14" s="214"/>
      <c r="D14" s="209">
        <f ca="1">(D10/$C$10)-1</f>
        <v>2.1787449058615915</v>
      </c>
      <c r="E14" s="210"/>
      <c r="F14" s="209">
        <f ca="1">(F10/$C$10)-1</f>
        <v>4.4694929754846573</v>
      </c>
      <c r="G14" s="210"/>
      <c r="H14" s="171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</row>
    <row r="15" spans="1:22" ht="30" customHeight="1" thickBot="1" x14ac:dyDescent="0.3">
      <c r="A15" s="171"/>
      <c r="B15" s="213" t="s">
        <v>109</v>
      </c>
      <c r="C15" s="214"/>
      <c r="D15" s="209">
        <f ca="1">(D12/$C$12)-1</f>
        <v>1.3808268536467603</v>
      </c>
      <c r="E15" s="210"/>
      <c r="F15" s="209">
        <f ca="1">(F12/$C$12)-1</f>
        <v>2.8252290040139227</v>
      </c>
      <c r="G15" s="210"/>
      <c r="H15" s="171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</row>
    <row r="16" spans="1:22" ht="15" customHeight="1" thickBot="1" x14ac:dyDescent="0.3">
      <c r="A16" s="171"/>
      <c r="B16" s="189" t="s">
        <v>104</v>
      </c>
      <c r="C16" s="190"/>
      <c r="D16" s="190"/>
      <c r="E16" s="190"/>
      <c r="F16" s="190"/>
      <c r="G16" s="191"/>
      <c r="H16" s="171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</row>
    <row r="17" spans="1:22" x14ac:dyDescent="0.25">
      <c r="A17" s="171"/>
      <c r="B17" s="172"/>
      <c r="C17" s="173"/>
      <c r="D17" s="173"/>
      <c r="E17" s="173"/>
      <c r="F17" s="173"/>
      <c r="G17" s="173"/>
      <c r="H17" s="171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132"/>
    </row>
    <row r="18" spans="1:22" ht="15.75" thickBot="1" x14ac:dyDescent="0.3">
      <c r="A18" s="132"/>
      <c r="B18" s="170"/>
      <c r="C18" s="154"/>
      <c r="D18" s="154"/>
      <c r="E18" s="154"/>
      <c r="F18" s="154"/>
      <c r="G18" s="154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</row>
    <row r="19" spans="1:22" ht="15.75" thickBot="1" x14ac:dyDescent="0.3">
      <c r="A19" s="132"/>
      <c r="B19" s="202" t="s">
        <v>82</v>
      </c>
      <c r="C19" s="203"/>
      <c r="D19" s="203"/>
      <c r="E19" s="203"/>
      <c r="F19" s="203"/>
      <c r="G19" s="204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</row>
    <row r="20" spans="1:22" ht="15.75" thickBot="1" x14ac:dyDescent="0.3">
      <c r="A20" s="132"/>
      <c r="B20" s="86" t="s">
        <v>73</v>
      </c>
      <c r="C20" s="43">
        <v>2020</v>
      </c>
      <c r="D20" s="203">
        <v>2021</v>
      </c>
      <c r="E20" s="203"/>
      <c r="F20" s="202">
        <v>2022</v>
      </c>
      <c r="G20" s="204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</row>
    <row r="21" spans="1:22" x14ac:dyDescent="0.25">
      <c r="A21" s="132"/>
      <c r="B21" s="59" t="s">
        <v>77</v>
      </c>
      <c r="C21" s="64">
        <f>Principal!F3</f>
        <v>114666.66666666667</v>
      </c>
      <c r="D21" s="192">
        <f>Principal!F4</f>
        <v>115813.33333333334</v>
      </c>
      <c r="E21" s="192"/>
      <c r="F21" s="193">
        <f>Principal!F5</f>
        <v>117164.48888888888</v>
      </c>
      <c r="G21" s="194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</row>
    <row r="22" spans="1:22" ht="30.75" thickBot="1" x14ac:dyDescent="0.3">
      <c r="A22" s="132"/>
      <c r="B22" s="101" t="s">
        <v>79</v>
      </c>
      <c r="C22" s="64">
        <f ca="1">C12</f>
        <v>2775.34</v>
      </c>
      <c r="D22" s="192">
        <f ca="1">D12</f>
        <v>6607.6040000000003</v>
      </c>
      <c r="E22" s="192"/>
      <c r="F22" s="193">
        <f ca="1">F12</f>
        <v>10616.311064000001</v>
      </c>
      <c r="G22" s="194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</row>
    <row r="23" spans="1:22" ht="30.75" thickBot="1" x14ac:dyDescent="0.3">
      <c r="A23" s="132"/>
      <c r="B23" s="104" t="s">
        <v>80</v>
      </c>
      <c r="C23" s="102">
        <f ca="1">C22/C21</f>
        <v>2.4203546511627906E-2</v>
      </c>
      <c r="D23" s="195">
        <f ca="1">D22/D21</f>
        <v>5.7053914344922865E-2</v>
      </c>
      <c r="E23" s="195"/>
      <c r="F23" s="196">
        <f ca="1">F22/F21</f>
        <v>9.061031345485418E-2</v>
      </c>
      <c r="G23" s="197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</row>
    <row r="24" spans="1:22" ht="30.75" thickBot="1" x14ac:dyDescent="0.3">
      <c r="A24" s="132"/>
      <c r="B24" s="105" t="s">
        <v>81</v>
      </c>
      <c r="C24" s="103">
        <f ca="1">C21-C22</f>
        <v>111891.32666666668</v>
      </c>
      <c r="D24" s="198">
        <f ca="1">D21-D22</f>
        <v>109205.72933333334</v>
      </c>
      <c r="E24" s="199"/>
      <c r="F24" s="200">
        <f ca="1">F21-F22</f>
        <v>106548.17782488887</v>
      </c>
      <c r="G24" s="201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</row>
    <row r="25" spans="1:22" x14ac:dyDescent="0.25">
      <c r="A25" s="132"/>
      <c r="B25" s="170"/>
      <c r="C25" s="154"/>
      <c r="D25" s="154"/>
      <c r="E25" s="154"/>
      <c r="F25" s="154"/>
      <c r="G25" s="154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</row>
    <row r="26" spans="1:22" x14ac:dyDescent="0.25">
      <c r="A26" s="132"/>
      <c r="B26" s="170"/>
      <c r="C26" s="154"/>
      <c r="D26" s="154"/>
      <c r="E26" s="154"/>
      <c r="F26" s="154"/>
      <c r="G26" s="154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</row>
    <row r="27" spans="1:22" x14ac:dyDescent="0.25">
      <c r="A27" s="132"/>
      <c r="B27" s="170"/>
      <c r="C27" s="154"/>
      <c r="D27" s="154"/>
      <c r="E27" s="154"/>
      <c r="F27" s="154"/>
      <c r="G27" s="154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</row>
    <row r="28" spans="1:22" x14ac:dyDescent="0.25">
      <c r="A28" s="132"/>
      <c r="B28" s="170"/>
      <c r="C28" s="154"/>
      <c r="D28" s="154"/>
      <c r="E28" s="154"/>
      <c r="F28" s="154"/>
      <c r="G28" s="154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</row>
    <row r="29" spans="1:22" x14ac:dyDescent="0.25">
      <c r="A29" s="132"/>
      <c r="B29" s="170"/>
      <c r="C29" s="154"/>
      <c r="D29" s="154"/>
      <c r="E29" s="154"/>
      <c r="F29" s="154"/>
      <c r="G29" s="154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</row>
    <row r="30" spans="1:22" x14ac:dyDescent="0.25">
      <c r="A30" s="132"/>
      <c r="B30" s="170"/>
      <c r="C30" s="154"/>
      <c r="D30" s="154"/>
      <c r="E30" s="154"/>
      <c r="F30" s="154"/>
      <c r="G30" s="154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</row>
    <row r="31" spans="1:22" x14ac:dyDescent="0.25">
      <c r="A31" s="132"/>
      <c r="B31" s="170"/>
      <c r="C31" s="154"/>
      <c r="D31" s="154"/>
      <c r="E31" s="154"/>
      <c r="F31" s="154"/>
      <c r="G31" s="154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</row>
    <row r="32" spans="1:22" x14ac:dyDescent="0.25">
      <c r="A32" s="132"/>
      <c r="B32" s="170"/>
      <c r="C32" s="154"/>
      <c r="D32" s="154"/>
      <c r="E32" s="154"/>
      <c r="F32" s="154"/>
      <c r="G32" s="154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</row>
    <row r="33" spans="1:22" x14ac:dyDescent="0.25">
      <c r="A33" s="132"/>
      <c r="B33" s="170"/>
      <c r="C33" s="154"/>
      <c r="D33" s="154"/>
      <c r="E33" s="154"/>
      <c r="F33" s="154"/>
      <c r="G33" s="154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</row>
    <row r="34" spans="1:22" x14ac:dyDescent="0.25">
      <c r="A34" s="132"/>
      <c r="B34" s="170"/>
      <c r="C34" s="154"/>
      <c r="D34" s="154"/>
      <c r="E34" s="154"/>
      <c r="F34" s="154"/>
      <c r="G34" s="154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</row>
  </sheetData>
  <sheetProtection algorithmName="SHA-512" hashValue="S3KAjDUxMDxXoiGu+nVF4iBuOkd+gb0kVCKWk0BiXOMxsnKV5XrTKQtLjJxwSWUxnPhL2YOh/nE5l7LeGsZXRw==" saltValue="v5HOLZe3/0BvuBfUkpcJJg==" spinCount="100000" sheet="1" objects="1" scenarios="1"/>
  <mergeCells count="31">
    <mergeCell ref="F9:G9"/>
    <mergeCell ref="D10:E10"/>
    <mergeCell ref="D11:E11"/>
    <mergeCell ref="F11:G11"/>
    <mergeCell ref="F10:G10"/>
    <mergeCell ref="B5:C5"/>
    <mergeCell ref="B6:C6"/>
    <mergeCell ref="B13:C13"/>
    <mergeCell ref="B15:C15"/>
    <mergeCell ref="D9:E9"/>
    <mergeCell ref="D12:E12"/>
    <mergeCell ref="B14:C14"/>
    <mergeCell ref="F12:G12"/>
    <mergeCell ref="D13:E13"/>
    <mergeCell ref="F13:G13"/>
    <mergeCell ref="F15:G15"/>
    <mergeCell ref="D15:E15"/>
    <mergeCell ref="D14:E14"/>
    <mergeCell ref="F14:G14"/>
    <mergeCell ref="D24:E24"/>
    <mergeCell ref="F24:G24"/>
    <mergeCell ref="B19:G19"/>
    <mergeCell ref="D20:E20"/>
    <mergeCell ref="F20:G20"/>
    <mergeCell ref="D21:E21"/>
    <mergeCell ref="F21:G21"/>
    <mergeCell ref="B16:G16"/>
    <mergeCell ref="D22:E22"/>
    <mergeCell ref="F22:G22"/>
    <mergeCell ref="D23:E23"/>
    <mergeCell ref="F23:G2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6E239-11C4-44D9-80F9-A55C8148732D}">
  <sheetPr codeName="Planilha7"/>
  <dimension ref="A1:M35"/>
  <sheetViews>
    <sheetView workbookViewId="0">
      <selection activeCell="F5" sqref="F5"/>
    </sheetView>
  </sheetViews>
  <sheetFormatPr defaultRowHeight="15" x14ac:dyDescent="0.25"/>
  <cols>
    <col min="1" max="1" width="28.140625" bestFit="1" customWidth="1"/>
    <col min="2" max="2" width="20.42578125" bestFit="1" customWidth="1"/>
    <col min="3" max="5" width="18.7109375" customWidth="1"/>
    <col min="6" max="6" width="23.85546875" customWidth="1"/>
    <col min="7" max="7" width="28.85546875" bestFit="1" customWidth="1"/>
    <col min="8" max="8" width="21.5703125" hidden="1" customWidth="1"/>
    <col min="9" max="9" width="14.140625" customWidth="1"/>
    <col min="10" max="10" width="18.28515625" hidden="1" customWidth="1"/>
    <col min="11" max="12" width="21.5703125" hidden="1" customWidth="1"/>
  </cols>
  <sheetData>
    <row r="1" spans="1:13" ht="15.75" thickBot="1" x14ac:dyDescent="0.3">
      <c r="A1" s="106" t="s">
        <v>46</v>
      </c>
      <c r="B1" s="107" t="str">
        <f>Principal!B1</f>
        <v>Até 9988,61</v>
      </c>
      <c r="J1" s="14"/>
      <c r="K1" s="111"/>
      <c r="L1" s="111"/>
    </row>
    <row r="2" spans="1:13" ht="15.75" thickBot="1" x14ac:dyDescent="0.3">
      <c r="J2" s="41" t="s">
        <v>24</v>
      </c>
      <c r="K2" s="112" t="s">
        <v>49</v>
      </c>
      <c r="L2" s="113">
        <f>VLOOKUP(B1,J16:K27,2,FALSE)</f>
        <v>8</v>
      </c>
    </row>
    <row r="3" spans="1:13" x14ac:dyDescent="0.25">
      <c r="J3" s="31"/>
      <c r="K3" s="37" t="s">
        <v>35</v>
      </c>
      <c r="L3" s="40" t="s">
        <v>50</v>
      </c>
    </row>
    <row r="4" spans="1:13" ht="15.75" thickBot="1" x14ac:dyDescent="0.3">
      <c r="A4" s="46"/>
      <c r="B4" s="46"/>
      <c r="C4" s="46"/>
      <c r="D4" s="46"/>
      <c r="E4" s="46"/>
      <c r="F4" s="46"/>
      <c r="G4" s="46"/>
      <c r="H4" s="16"/>
      <c r="J4" s="48" t="str">
        <f>Principal!H3</f>
        <v>0-18</v>
      </c>
      <c r="K4" s="38" t="s">
        <v>36</v>
      </c>
      <c r="L4" s="21" t="str">
        <f>CONCATENATE(K4,$L$2)</f>
        <v>D8</v>
      </c>
    </row>
    <row r="5" spans="1:13" ht="30" customHeight="1" thickBot="1" x14ac:dyDescent="0.3">
      <c r="A5" s="44" t="s">
        <v>47</v>
      </c>
      <c r="B5" s="42" t="s">
        <v>24</v>
      </c>
      <c r="C5" s="51" t="s">
        <v>70</v>
      </c>
      <c r="D5" s="43" t="s">
        <v>52</v>
      </c>
      <c r="E5" s="43" t="s">
        <v>53</v>
      </c>
      <c r="F5" s="43" t="s">
        <v>110</v>
      </c>
      <c r="G5" s="43" t="s">
        <v>111</v>
      </c>
      <c r="H5" s="42" t="s">
        <v>50</v>
      </c>
      <c r="J5" s="48" t="str">
        <f>Principal!H4</f>
        <v>19-23</v>
      </c>
      <c r="K5" s="38" t="s">
        <v>37</v>
      </c>
      <c r="L5" s="21" t="str">
        <f t="shared" ref="L5:L13" si="0">CONCATENATE(K5,$L$2)</f>
        <v>E8</v>
      </c>
    </row>
    <row r="6" spans="1:13" x14ac:dyDescent="0.25">
      <c r="A6" s="35" t="s">
        <v>45</v>
      </c>
      <c r="B6" s="18" t="str">
        <f>IF(ISBLANK(Principal!B6),"",Principal!B6)</f>
        <v>44-48</v>
      </c>
      <c r="C6" s="23" cm="1">
        <f t="array" aca="1" ref="C6" ca="1">IF(B6="",0,INDIRECT(CONCATENATE("Vigente!",H6)))</f>
        <v>60.59</v>
      </c>
      <c r="D6" s="26" cm="1">
        <f t="array" aca="1" ref="D6" ca="1">IF(B6="",0,INDIRECT(CONCATENATE("Anexo_I!",H6)))</f>
        <v>176.2</v>
      </c>
      <c r="E6" s="26" cm="1">
        <f t="array" aca="1" ref="E6" ca="1">IF(B6="",0,INDIRECT(CONCATENATE("Anexo_I_VHCM!",H6)))</f>
        <v>195.58199999999999</v>
      </c>
      <c r="F6" s="26" cm="1">
        <f t="array" aca="1" ref="F6" ca="1">IF(B6="",0,INDIRECT(CONCATENATE("Anexo_II_VHCM_antes_mar!",H6)))</f>
        <v>302.00880000000001</v>
      </c>
      <c r="G6" s="26" cm="1">
        <f t="array" aca="1" ref="G6" ca="1">IF(B6="",0,INDIRECT(CONCATENATE("Anexo_II_VHCM_depois_mar!",H6)))</f>
        <v>336.73981200000003</v>
      </c>
      <c r="H6" s="24" t="str">
        <f>VLOOKUP(B6,$J$4:$L$13,3,FALSE)</f>
        <v>J8</v>
      </c>
      <c r="J6" s="48" t="str">
        <f>Principal!H5</f>
        <v>24-28</v>
      </c>
      <c r="K6" s="38" t="s">
        <v>38</v>
      </c>
      <c r="L6" s="21" t="str">
        <f>CONCATENATE(K6,$L$2)</f>
        <v>F8</v>
      </c>
    </row>
    <row r="7" spans="1:13" x14ac:dyDescent="0.25">
      <c r="A7" s="36" t="s">
        <v>23</v>
      </c>
      <c r="B7" s="18" t="str">
        <f>IF(ISBLANK(Principal!B7),"",Principal!B7)</f>
        <v>44-48</v>
      </c>
      <c r="C7" s="23" cm="1">
        <f t="array" aca="1" ref="C7" ca="1">IF(B7="",0,INDIRECT(CONCATENATE("Vigente!",H7)))</f>
        <v>60.59</v>
      </c>
      <c r="D7" s="26" cm="1">
        <f t="array" aca="1" ref="D7" ca="1">IF(B7="",0,INDIRECT(CONCATENATE("Anexo_I!",H7)))</f>
        <v>176.2</v>
      </c>
      <c r="E7" s="26" cm="1">
        <f t="array" aca="1" ref="E7" ca="1">IF(B7="",0,INDIRECT(CONCATENATE("Anexo_I_VHCM!",H7)))</f>
        <v>195.58199999999999</v>
      </c>
      <c r="F7" s="26" cm="1">
        <f t="array" aca="1" ref="F7" ca="1">IF(B7="",0,INDIRECT(CONCATENATE("Anexo_II_VHCM_antes_mar!",H7)))</f>
        <v>302.00880000000001</v>
      </c>
      <c r="G7" s="26" cm="1">
        <f t="array" aca="1" ref="G7" ca="1">IF(B7="",0,INDIRECT(CONCATENATE("Anexo_II_VHCM_depois_mar!",H7)))</f>
        <v>336.73981200000003</v>
      </c>
      <c r="H7" s="24" t="str">
        <f t="shared" ref="H7:H16" si="1">VLOOKUP(B7,$J$4:$L$13,3,FALSE)</f>
        <v>J8</v>
      </c>
      <c r="J7" s="48" t="str">
        <f>Principal!H6</f>
        <v>29-33</v>
      </c>
      <c r="K7" s="38" t="s">
        <v>39</v>
      </c>
      <c r="L7" s="21" t="str">
        <f t="shared" si="0"/>
        <v>G8</v>
      </c>
    </row>
    <row r="8" spans="1:13" x14ac:dyDescent="0.25">
      <c r="A8" s="36" t="s">
        <v>25</v>
      </c>
      <c r="B8" s="18" t="str">
        <f>IF(ISBLANK(Principal!B8),"",Principal!B8)</f>
        <v/>
      </c>
      <c r="C8" s="23" cm="1">
        <f t="array" aca="1" ref="C8" ca="1">IF(B8="",0,INDIRECT(CONCATENATE("Vigente!",H8)))</f>
        <v>0</v>
      </c>
      <c r="D8" s="26" cm="1">
        <f t="array" aca="1" ref="D8" ca="1">IF(B8="",0,INDIRECT(CONCATENATE("Anexo_I!",H8)))</f>
        <v>0</v>
      </c>
      <c r="E8" s="26" cm="1">
        <f t="array" aca="1" ref="E8" ca="1">IF(B8="",0,INDIRECT(CONCATENATE("Anexo_I_VHCM!",H8)))</f>
        <v>0</v>
      </c>
      <c r="F8" s="26" cm="1">
        <f t="array" aca="1" ref="F8" ca="1">IF(B8="",0,INDIRECT(CONCATENATE("Anexo_II_VHCM_antes_mar!",H8)))</f>
        <v>0</v>
      </c>
      <c r="G8" s="26" cm="1">
        <f t="array" aca="1" ref="G8" ca="1">IF(B8="",0,INDIRECT(CONCATENATE("Anexo_II_VHCM_depois_mar!",H8)))</f>
        <v>0</v>
      </c>
      <c r="H8" s="24" t="e">
        <f t="shared" si="1"/>
        <v>#N/A</v>
      </c>
      <c r="I8" s="16"/>
      <c r="J8" s="48" t="str">
        <f>Principal!H7</f>
        <v>34-38</v>
      </c>
      <c r="K8" s="38" t="s">
        <v>40</v>
      </c>
      <c r="L8" s="21" t="str">
        <f t="shared" si="0"/>
        <v>H8</v>
      </c>
    </row>
    <row r="9" spans="1:13" ht="15" customHeight="1" x14ac:dyDescent="0.25">
      <c r="A9" s="36" t="s">
        <v>26</v>
      </c>
      <c r="B9" s="18" t="str">
        <f>IF(ISBLANK(Principal!B9),"",Principal!B9)</f>
        <v/>
      </c>
      <c r="C9" s="23" cm="1">
        <f t="array" aca="1" ref="C9" ca="1">IF(B9="",0,INDIRECT(CONCATENATE("Vigente!",H9)))</f>
        <v>0</v>
      </c>
      <c r="D9" s="26" cm="1">
        <f t="array" aca="1" ref="D9" ca="1">IF(B9="",0,INDIRECT(CONCATENATE("Anexo_I!",H9)))</f>
        <v>0</v>
      </c>
      <c r="E9" s="26" cm="1">
        <f t="array" aca="1" ref="E9" ca="1">IF(B9="",0,INDIRECT(CONCATENATE("Anexo_I_VHCM!",H9)))</f>
        <v>0</v>
      </c>
      <c r="F9" s="26" cm="1">
        <f t="array" aca="1" ref="F9" ca="1">IF(B9="",0,INDIRECT(CONCATENATE("Anexo_II_VHCM_antes_mar!",H9)))</f>
        <v>0</v>
      </c>
      <c r="G9" s="26" cm="1">
        <f t="array" aca="1" ref="G9" ca="1">IF(B9="",0,INDIRECT(CONCATENATE("Anexo_II_VHCM_depois_mar!",H9)))</f>
        <v>0</v>
      </c>
      <c r="H9" s="24" t="e">
        <f t="shared" si="1"/>
        <v>#N/A</v>
      </c>
      <c r="I9" s="16"/>
      <c r="J9" s="48" t="str">
        <f>Principal!H8</f>
        <v>39-43</v>
      </c>
      <c r="K9" s="38" t="s">
        <v>34</v>
      </c>
      <c r="L9" s="21" t="str">
        <f t="shared" si="0"/>
        <v>I8</v>
      </c>
      <c r="M9" s="13"/>
    </row>
    <row r="10" spans="1:13" ht="15" customHeight="1" x14ac:dyDescent="0.25">
      <c r="A10" s="36" t="s">
        <v>27</v>
      </c>
      <c r="B10" s="18" t="str">
        <f>IF(ISBLANK(Principal!B10),"",Principal!B10)</f>
        <v/>
      </c>
      <c r="C10" s="23" cm="1">
        <f t="array" aca="1" ref="C10" ca="1">IF(B10="",0,INDIRECT(CONCATENATE("Vigente!",H10)))</f>
        <v>0</v>
      </c>
      <c r="D10" s="26" cm="1">
        <f t="array" aca="1" ref="D10" ca="1">IF(B10="",0,INDIRECT(CONCATENATE("Anexo_I!",H10)))</f>
        <v>0</v>
      </c>
      <c r="E10" s="26" cm="1">
        <f t="array" aca="1" ref="E10" ca="1">IF(B10="",0,INDIRECT(CONCATENATE("Anexo_I_VHCM!",H10)))</f>
        <v>0</v>
      </c>
      <c r="F10" s="26" cm="1">
        <f t="array" aca="1" ref="F10" ca="1">IF(B10="",0,INDIRECT(CONCATENATE("Anexo_II_VHCM_antes_mar!",H10)))</f>
        <v>0</v>
      </c>
      <c r="G10" s="26" cm="1">
        <f t="array" aca="1" ref="G10" ca="1">IF(B10="",0,INDIRECT(CONCATENATE("Anexo_II_VHCM_depois_mar!",H10)))</f>
        <v>0</v>
      </c>
      <c r="H10" s="24" t="e">
        <f t="shared" si="1"/>
        <v>#N/A</v>
      </c>
      <c r="I10" s="16"/>
      <c r="J10" s="48" t="str">
        <f>Principal!H9</f>
        <v>44-48</v>
      </c>
      <c r="K10" s="38" t="s">
        <v>41</v>
      </c>
      <c r="L10" s="21" t="str">
        <f t="shared" si="0"/>
        <v>J8</v>
      </c>
      <c r="M10" s="13"/>
    </row>
    <row r="11" spans="1:13" ht="15" customHeight="1" x14ac:dyDescent="0.25">
      <c r="A11" s="36" t="s">
        <v>28</v>
      </c>
      <c r="B11" s="18" t="str">
        <f>IF(ISBLANK(Principal!B11),"",Principal!B11)</f>
        <v/>
      </c>
      <c r="C11" s="23" cm="1">
        <f t="array" aca="1" ref="C11" ca="1">IF(B11="",0,INDIRECT(CONCATENATE("Vigente!",H11)))</f>
        <v>0</v>
      </c>
      <c r="D11" s="26" cm="1">
        <f t="array" aca="1" ref="D11" ca="1">IF(B11="",0,INDIRECT(CONCATENATE("Anexo_I!",H11)))</f>
        <v>0</v>
      </c>
      <c r="E11" s="26" cm="1">
        <f t="array" aca="1" ref="E11" ca="1">IF(B11="",0,INDIRECT(CONCATENATE("Anexo_I_VHCM!",H11)))</f>
        <v>0</v>
      </c>
      <c r="F11" s="26" cm="1">
        <f t="array" aca="1" ref="F11" ca="1">IF(B11="",0,INDIRECT(CONCATENATE("Anexo_II_VHCM_antes_mar!",H11)))</f>
        <v>0</v>
      </c>
      <c r="G11" s="26" cm="1">
        <f t="array" aca="1" ref="G11" ca="1">IF(B11="",0,INDIRECT(CONCATENATE("Anexo_II_VHCM_depois_mar!",H11)))</f>
        <v>0</v>
      </c>
      <c r="H11" s="24" t="e">
        <f t="shared" si="1"/>
        <v>#N/A</v>
      </c>
      <c r="I11" s="16"/>
      <c r="J11" s="48" t="str">
        <f>Principal!H10</f>
        <v>49-53</v>
      </c>
      <c r="K11" s="38" t="s">
        <v>42</v>
      </c>
      <c r="L11" s="21" t="str">
        <f t="shared" si="0"/>
        <v>K8</v>
      </c>
      <c r="M11" s="13"/>
    </row>
    <row r="12" spans="1:13" x14ac:dyDescent="0.25">
      <c r="A12" s="36" t="s">
        <v>29</v>
      </c>
      <c r="B12" s="18" t="str">
        <f>IF(ISBLANK(Principal!B12),"",Principal!B12)</f>
        <v/>
      </c>
      <c r="C12" s="23" cm="1">
        <f t="array" aca="1" ref="C12" ca="1">IF(B12="",0,INDIRECT(CONCATENATE("Vigente!",H12)))</f>
        <v>0</v>
      </c>
      <c r="D12" s="26" cm="1">
        <f t="array" aca="1" ref="D12" ca="1">IF(B12="",0,INDIRECT(CONCATENATE("Anexo_I!",H12)))</f>
        <v>0</v>
      </c>
      <c r="E12" s="26" cm="1">
        <f t="array" aca="1" ref="E12" ca="1">IF(B12="",0,INDIRECT(CONCATENATE("Anexo_I_VHCM!",H12)))</f>
        <v>0</v>
      </c>
      <c r="F12" s="26" cm="1">
        <f t="array" aca="1" ref="F12" ca="1">IF(B12="",0,INDIRECT(CONCATENATE("Anexo_II_VHCM_antes_mar!",H12)))</f>
        <v>0</v>
      </c>
      <c r="G12" s="26" cm="1">
        <f t="array" aca="1" ref="G12" ca="1">IF(B12="",0,INDIRECT(CONCATENATE("Anexo_II_VHCM_depois_mar!",H12)))</f>
        <v>0</v>
      </c>
      <c r="H12" s="24" t="e">
        <f t="shared" si="1"/>
        <v>#N/A</v>
      </c>
      <c r="I12" s="16"/>
      <c r="J12" s="48" t="str">
        <f>Principal!H11</f>
        <v>54-58</v>
      </c>
      <c r="K12" s="38" t="s">
        <v>43</v>
      </c>
      <c r="L12" s="21" t="str">
        <f t="shared" si="0"/>
        <v>L8</v>
      </c>
      <c r="M12" s="13"/>
    </row>
    <row r="13" spans="1:13" ht="15.75" thickBot="1" x14ac:dyDescent="0.3">
      <c r="A13" s="36" t="s">
        <v>30</v>
      </c>
      <c r="B13" s="18" t="str">
        <f>IF(ISBLANK(Principal!B13),"",Principal!B13)</f>
        <v/>
      </c>
      <c r="C13" s="23" cm="1">
        <f t="array" aca="1" ref="C13" ca="1">IF(B13="",0,INDIRECT(CONCATENATE("Vigente!",H13)))</f>
        <v>0</v>
      </c>
      <c r="D13" s="26" cm="1">
        <f t="array" aca="1" ref="D13" ca="1">IF(B13="",0,INDIRECT(CONCATENATE("Anexo_I!",H13)))</f>
        <v>0</v>
      </c>
      <c r="E13" s="26" cm="1">
        <f t="array" aca="1" ref="E13" ca="1">IF(B13="",0,INDIRECT(CONCATENATE("Anexo_I_VHCM!",H13)))</f>
        <v>0</v>
      </c>
      <c r="F13" s="26" cm="1">
        <f t="array" aca="1" ref="F13" ca="1">IF(B13="",0,INDIRECT(CONCATENATE("Anexo_II_VHCM_antes_mar!",H13)))</f>
        <v>0</v>
      </c>
      <c r="G13" s="26" cm="1">
        <f t="array" aca="1" ref="G13" ca="1">IF(B13="",0,INDIRECT(CONCATENATE("Anexo_II_VHCM_depois_mar!",H13)))</f>
        <v>0</v>
      </c>
      <c r="H13" s="24" t="e">
        <f t="shared" si="1"/>
        <v>#N/A</v>
      </c>
      <c r="I13" s="16"/>
      <c r="J13" s="49" t="str">
        <f>Principal!H12</f>
        <v>Maior do que 59</v>
      </c>
      <c r="K13" s="39" t="s">
        <v>44</v>
      </c>
      <c r="L13" s="22" t="str">
        <f t="shared" si="0"/>
        <v>M8</v>
      </c>
      <c r="M13" s="13"/>
    </row>
    <row r="14" spans="1:13" ht="15" customHeight="1" thickBot="1" x14ac:dyDescent="0.3">
      <c r="A14" s="36" t="s">
        <v>31</v>
      </c>
      <c r="B14" s="18" t="str">
        <f>IF(ISBLANK(Principal!B14),"",Principal!B14)</f>
        <v/>
      </c>
      <c r="C14" s="23" cm="1">
        <f t="array" aca="1" ref="C14" ca="1">IF(B14="",0,INDIRECT(CONCATENATE("Vigente!",H14)))</f>
        <v>0</v>
      </c>
      <c r="D14" s="26" cm="1">
        <f t="array" aca="1" ref="D14" ca="1">IF(B14="",0,INDIRECT(CONCATENATE("Anexo_I!",H14)))</f>
        <v>0</v>
      </c>
      <c r="E14" s="26" cm="1">
        <f t="array" aca="1" ref="E14" ca="1">IF(B14="",0,INDIRECT(CONCATENATE("Anexo_I_VHCM!",H14)))</f>
        <v>0</v>
      </c>
      <c r="F14" s="26" cm="1">
        <f t="array" aca="1" ref="F14" ca="1">IF(B14="",0,INDIRECT(CONCATENATE("Anexo_II_VHCM_antes_mar!",H14)))</f>
        <v>0</v>
      </c>
      <c r="G14" s="26" cm="1">
        <f t="array" aca="1" ref="G14" ca="1">IF(B14="",0,INDIRECT(CONCATENATE("Anexo_II_VHCM_depois_mar!",H14)))</f>
        <v>0</v>
      </c>
      <c r="H14" s="24" t="e">
        <f t="shared" si="1"/>
        <v>#N/A</v>
      </c>
      <c r="I14" s="16"/>
      <c r="J14" s="14"/>
      <c r="K14" s="14"/>
      <c r="L14" s="14"/>
      <c r="M14" s="13"/>
    </row>
    <row r="15" spans="1:13" ht="15" customHeight="1" x14ac:dyDescent="0.25">
      <c r="A15" s="36" t="s">
        <v>32</v>
      </c>
      <c r="B15" s="18" t="str">
        <f>IF(ISBLANK(Principal!B15),"",Principal!B15)</f>
        <v/>
      </c>
      <c r="C15" s="23" cm="1">
        <f t="array" aca="1" ref="C15" ca="1">IF(B15="",0,INDIRECT(CONCATENATE("Vigente!",H15)))</f>
        <v>0</v>
      </c>
      <c r="D15" s="26" cm="1">
        <f t="array" aca="1" ref="D15" ca="1">IF(B15="",0,INDIRECT(CONCATENATE("Anexo_I!",H15)))</f>
        <v>0</v>
      </c>
      <c r="E15" s="26" cm="1">
        <f t="array" aca="1" ref="E15" ca="1">IF(B15="",0,INDIRECT(CONCATENATE("Anexo_I_VHCM!",H15)))</f>
        <v>0</v>
      </c>
      <c r="F15" s="26" cm="1">
        <f t="array" aca="1" ref="F15" ca="1">IF(B15="",0,INDIRECT(CONCATENATE("Anexo_II_VHCM_antes_mar!",H15)))</f>
        <v>0</v>
      </c>
      <c r="G15" s="26" cm="1">
        <f t="array" aca="1" ref="G15" ca="1">IF(B15="",0,INDIRECT(CONCATENATE("Anexo_II_VHCM_depois_mar!",H15)))</f>
        <v>0</v>
      </c>
      <c r="H15" s="24" t="e">
        <f t="shared" si="1"/>
        <v>#N/A</v>
      </c>
      <c r="I15" s="16"/>
      <c r="J15" s="108" t="s">
        <v>90</v>
      </c>
      <c r="K15" s="109" t="s">
        <v>99</v>
      </c>
      <c r="M15" s="13"/>
    </row>
    <row r="16" spans="1:13" ht="15.75" thickBot="1" x14ac:dyDescent="0.3">
      <c r="A16" s="36" t="s">
        <v>33</v>
      </c>
      <c r="B16" s="18" t="str">
        <f>IF(ISBLANK(Principal!B16),"",Principal!B16)</f>
        <v/>
      </c>
      <c r="C16" s="23" cm="1">
        <f t="array" aca="1" ref="C16" ca="1">IF(B16="",0,INDIRECT(CONCATENATE("Vigente!",H16)))</f>
        <v>0</v>
      </c>
      <c r="D16" s="26" cm="1">
        <f t="array" aca="1" ref="D16" ca="1">IF(B16="",0,INDIRECT(CONCATENATE("Anexo_I!",H16)))</f>
        <v>0</v>
      </c>
      <c r="E16" s="26" cm="1">
        <f t="array" aca="1" ref="E16" ca="1">IF(B16="",0,INDIRECT(CONCATENATE("Anexo_I_VHCM!",H16)))</f>
        <v>0</v>
      </c>
      <c r="F16" s="26" cm="1">
        <f t="array" aca="1" ref="F16" ca="1">IF(B16="",0,INDIRECT(CONCATENATE("Anexo_II_VHCM_antes_mar!",H16)))</f>
        <v>0</v>
      </c>
      <c r="G16" s="26" cm="1">
        <f t="array" aca="1" ref="G16" ca="1">IF(B16="",0,INDIRECT(CONCATENATE("Anexo_II_VHCM_depois_mar!",H16)))</f>
        <v>0</v>
      </c>
      <c r="H16" s="25" t="e">
        <f t="shared" si="1"/>
        <v>#N/A</v>
      </c>
      <c r="I16" s="16"/>
      <c r="J16" s="114" t="str">
        <f>Principal!J2</f>
        <v>Até 1456,67</v>
      </c>
      <c r="K16" s="40">
        <v>4</v>
      </c>
      <c r="M16" s="13"/>
    </row>
    <row r="17" spans="1:13" ht="15.75" thickBot="1" x14ac:dyDescent="0.3">
      <c r="A17" s="224" t="s">
        <v>51</v>
      </c>
      <c r="B17" s="225"/>
      <c r="C17" s="27">
        <f ca="1">SUM(C6:C16)</f>
        <v>121.18</v>
      </c>
      <c r="D17" s="28">
        <f ca="1">SUM(D6:D16)</f>
        <v>352.4</v>
      </c>
      <c r="E17" s="28">
        <f ca="1">SUM(E6:E16)</f>
        <v>391.16399999999999</v>
      </c>
      <c r="F17" s="28">
        <f ca="1">SUM(F6:F16)</f>
        <v>604.01760000000002</v>
      </c>
      <c r="G17" s="28">
        <f ca="1">SUM(G6:G16)</f>
        <v>673.47962400000006</v>
      </c>
      <c r="H17" s="16"/>
      <c r="I17" s="16"/>
      <c r="J17" s="114" t="str">
        <f>Principal!J3</f>
        <v>Até 2497,15</v>
      </c>
      <c r="K17" s="40">
        <v>5</v>
      </c>
      <c r="M17" s="13"/>
    </row>
    <row r="18" spans="1:13" ht="15.75" thickBot="1" x14ac:dyDescent="0.3">
      <c r="A18" s="221" t="s">
        <v>61</v>
      </c>
      <c r="B18" s="222"/>
      <c r="C18" s="223"/>
      <c r="D18" s="67">
        <f ca="1">D17-$C$17</f>
        <v>231.21999999999997</v>
      </c>
      <c r="E18" s="68">
        <f t="shared" ref="E18:F18" ca="1" si="2">E17-$C$17</f>
        <v>269.98399999999998</v>
      </c>
      <c r="F18" s="68">
        <f t="shared" ca="1" si="2"/>
        <v>482.83760000000001</v>
      </c>
      <c r="G18" s="68">
        <f ca="1">G17-$C$17</f>
        <v>552.29962399999999</v>
      </c>
      <c r="H18" s="16"/>
      <c r="I18" s="16"/>
      <c r="J18" s="114" t="str">
        <f>Principal!J4</f>
        <v>Até 4994,3</v>
      </c>
      <c r="K18" s="40">
        <v>6</v>
      </c>
      <c r="M18" s="13"/>
    </row>
    <row r="19" spans="1:13" ht="15.75" thickBot="1" x14ac:dyDescent="0.3">
      <c r="A19" s="221" t="s">
        <v>60</v>
      </c>
      <c r="B19" s="222"/>
      <c r="C19" s="223"/>
      <c r="D19" s="69">
        <f ca="1">(D17/$C$17)-1</f>
        <v>1.9080706387192601</v>
      </c>
      <c r="E19" s="69">
        <f ca="1">(E17/$C$17)-1</f>
        <v>2.2279584089783788</v>
      </c>
      <c r="F19" s="69">
        <f ca="1">(F17/$C$17)-1</f>
        <v>3.9844660835121308</v>
      </c>
      <c r="G19" s="69">
        <f ca="1">(G17/$C$17)-1</f>
        <v>4.5576796831160262</v>
      </c>
      <c r="H19" s="16"/>
      <c r="I19" s="16"/>
      <c r="J19" s="114" t="str">
        <f>Principal!J5</f>
        <v>Até 7491,46</v>
      </c>
      <c r="K19" s="40">
        <v>7</v>
      </c>
      <c r="M19" s="13"/>
    </row>
    <row r="20" spans="1:13" x14ac:dyDescent="0.25">
      <c r="A20" s="15"/>
      <c r="B20" s="17"/>
      <c r="C20" s="16"/>
      <c r="D20" s="16"/>
      <c r="E20" s="16"/>
      <c r="F20" s="16"/>
      <c r="G20" s="16"/>
      <c r="H20" s="16"/>
      <c r="I20" s="16"/>
      <c r="J20" s="114" t="str">
        <f>Principal!J6</f>
        <v>Até 9988,61</v>
      </c>
      <c r="K20" s="40">
        <v>8</v>
      </c>
      <c r="M20" s="13"/>
    </row>
    <row r="21" spans="1:13" x14ac:dyDescent="0.25">
      <c r="A21" s="15"/>
      <c r="B21" s="17"/>
      <c r="C21" s="16"/>
      <c r="D21" s="16"/>
      <c r="E21" s="16"/>
      <c r="F21" s="16"/>
      <c r="G21" s="16"/>
      <c r="H21" s="16"/>
      <c r="I21" s="16"/>
      <c r="J21" s="114" t="str">
        <f>Principal!J7</f>
        <v>Até 14982,91</v>
      </c>
      <c r="K21" s="40">
        <v>9</v>
      </c>
      <c r="M21" s="13"/>
    </row>
    <row r="22" spans="1:13" x14ac:dyDescent="0.25">
      <c r="A22" s="15"/>
      <c r="B22" s="17"/>
      <c r="C22" s="16"/>
      <c r="D22" s="16"/>
      <c r="E22" s="16"/>
      <c r="F22" s="16"/>
      <c r="G22" s="16"/>
      <c r="H22" s="16"/>
      <c r="I22" s="16"/>
      <c r="J22" s="114" t="str">
        <f>Principal!J8</f>
        <v>Até 19977,22</v>
      </c>
      <c r="K22" s="40">
        <v>10</v>
      </c>
    </row>
    <row r="23" spans="1:13" x14ac:dyDescent="0.25">
      <c r="A23" s="15"/>
      <c r="B23" s="17"/>
      <c r="C23" s="16"/>
      <c r="D23" s="16"/>
      <c r="E23" s="16"/>
      <c r="F23" s="16"/>
      <c r="G23" s="16"/>
      <c r="H23" s="16"/>
      <c r="I23" s="16"/>
      <c r="J23" s="114" t="str">
        <f>Principal!J9</f>
        <v>Até 23514,85</v>
      </c>
      <c r="K23" s="40">
        <v>11</v>
      </c>
    </row>
    <row r="24" spans="1:13" x14ac:dyDescent="0.25">
      <c r="A24" s="15"/>
      <c r="B24" s="17"/>
      <c r="C24" s="16"/>
      <c r="D24" s="16"/>
      <c r="E24" s="16"/>
      <c r="F24" s="16"/>
      <c r="G24" s="16"/>
      <c r="H24" s="16"/>
      <c r="I24" s="16"/>
      <c r="J24" s="114" t="str">
        <f>Principal!J10</f>
        <v>Até 27052,48</v>
      </c>
      <c r="K24" s="40">
        <v>12</v>
      </c>
    </row>
    <row r="25" spans="1:13" x14ac:dyDescent="0.25">
      <c r="A25" s="15"/>
      <c r="B25" s="17"/>
      <c r="C25" s="16"/>
      <c r="D25" s="16"/>
      <c r="E25" s="16"/>
      <c r="F25" s="16"/>
      <c r="G25" s="16"/>
      <c r="H25" s="16"/>
      <c r="I25" s="16"/>
      <c r="J25" s="114" t="str">
        <f>Principal!J11</f>
        <v>Até 31214,4</v>
      </c>
      <c r="K25" s="40">
        <v>13</v>
      </c>
    </row>
    <row r="26" spans="1:13" x14ac:dyDescent="0.25">
      <c r="A26" s="15"/>
      <c r="B26" s="17"/>
      <c r="C26" s="16"/>
      <c r="D26" s="16"/>
      <c r="E26" s="16"/>
      <c r="F26" s="16"/>
      <c r="G26" s="16"/>
      <c r="H26" s="16"/>
      <c r="I26" s="16"/>
      <c r="J26" s="114" t="str">
        <f>Principal!J12</f>
        <v>Até 37457,28</v>
      </c>
      <c r="K26" s="40">
        <v>14</v>
      </c>
    </row>
    <row r="27" spans="1:13" ht="15.75" thickBot="1" x14ac:dyDescent="0.3">
      <c r="I27" s="16"/>
      <c r="J27" s="115" t="str">
        <f>Principal!J13</f>
        <v>Maior que 37457,28</v>
      </c>
      <c r="K27" s="110">
        <v>15</v>
      </c>
      <c r="L27" s="16"/>
    </row>
    <row r="28" spans="1:13" x14ac:dyDescent="0.25">
      <c r="I28" s="16"/>
      <c r="J28" s="16"/>
      <c r="K28" s="16"/>
      <c r="L28" s="16"/>
    </row>
    <row r="29" spans="1:13" x14ac:dyDescent="0.25">
      <c r="I29" s="16"/>
    </row>
    <row r="30" spans="1:13" x14ac:dyDescent="0.25">
      <c r="I30" s="16"/>
    </row>
    <row r="31" spans="1:13" x14ac:dyDescent="0.25">
      <c r="I31" s="16"/>
    </row>
    <row r="32" spans="1:13" x14ac:dyDescent="0.25">
      <c r="I32" s="16"/>
    </row>
    <row r="33" spans="9:9" x14ac:dyDescent="0.25">
      <c r="I33" s="16"/>
    </row>
    <row r="34" spans="9:9" x14ac:dyDescent="0.25">
      <c r="I34" s="16"/>
    </row>
    <row r="35" spans="9:9" x14ac:dyDescent="0.25">
      <c r="I35" s="16"/>
    </row>
  </sheetData>
  <sheetProtection algorithmName="SHA-512" hashValue="1O8tUMYFRAj6zB34aFz+IMxswQki1iAy1PCB/Ocd+EboEMdLB7s6fxKVvjeYyXB/RpHXZq/JkAgvq5s9oArEaw==" saltValue="7t/0k8jcrfJlHYvI+fCm6g==" spinCount="100000" sheet="1" objects="1" scenarios="1"/>
  <mergeCells count="3">
    <mergeCell ref="A18:C18"/>
    <mergeCell ref="A19:C19"/>
    <mergeCell ref="A17:B1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E3F22-C57D-465F-913A-3DFD5B36FB52}">
  <sheetPr codeName="Planilha9"/>
  <dimension ref="A1:D4"/>
  <sheetViews>
    <sheetView workbookViewId="0">
      <selection activeCell="N18" sqref="N18"/>
    </sheetView>
  </sheetViews>
  <sheetFormatPr defaultRowHeight="15" x14ac:dyDescent="0.25"/>
  <cols>
    <col min="1" max="1" width="35.7109375" style="57" customWidth="1"/>
    <col min="2" max="2" width="15.7109375" customWidth="1"/>
  </cols>
  <sheetData>
    <row r="1" spans="1:4" ht="15.75" customHeight="1" thickBot="1" x14ac:dyDescent="0.3">
      <c r="A1" s="56"/>
      <c r="B1" s="51">
        <v>2020</v>
      </c>
      <c r="C1" s="43">
        <v>2021</v>
      </c>
      <c r="D1" s="54">
        <v>2022</v>
      </c>
    </row>
    <row r="2" spans="1:4" s="7" customFormat="1" ht="30" customHeight="1" thickBot="1" x14ac:dyDescent="0.3">
      <c r="A2" s="59" t="s">
        <v>59</v>
      </c>
      <c r="B2" s="63">
        <f>Principal!B2</f>
        <v>100</v>
      </c>
      <c r="C2" s="62">
        <f>(B2/0.3)*0.4</f>
        <v>133.33333333333334</v>
      </c>
      <c r="D2" s="60">
        <f>(B2/0.3)*0.5</f>
        <v>166.66666666666669</v>
      </c>
    </row>
    <row r="3" spans="1:4" ht="30" customHeight="1" thickBot="1" x14ac:dyDescent="0.3">
      <c r="A3" s="211" t="s">
        <v>62</v>
      </c>
      <c r="B3" s="212"/>
      <c r="C3" s="70">
        <f>C2-$B$2</f>
        <v>33.333333333333343</v>
      </c>
      <c r="D3" s="71">
        <f>D2-$B$2</f>
        <v>66.666666666666686</v>
      </c>
    </row>
    <row r="4" spans="1:4" ht="30" customHeight="1" thickBot="1" x14ac:dyDescent="0.3">
      <c r="A4" s="213" t="s">
        <v>63</v>
      </c>
      <c r="B4" s="214"/>
      <c r="C4" s="72">
        <f>(C2/$B$2)-1</f>
        <v>0.33333333333333348</v>
      </c>
      <c r="D4" s="73">
        <f>(D2/$B$2)-1</f>
        <v>0.66666666666666696</v>
      </c>
    </row>
  </sheetData>
  <sheetProtection algorithmName="SHA-512" hashValue="mw8brL6maBgQJHM/tK+OSH21QU7WdLk6SJ7CBUx+94XA57/P2XpFr9y4xEpq57CfeNMIrTwWC5muc7TbQ6hfFA==" saltValue="rwZSoksqr+eFgp0xtxbgAQ==" spinCount="100000" sheet="1" objects="1" scenarios="1"/>
  <mergeCells count="2">
    <mergeCell ref="A3:B3"/>
    <mergeCell ref="A4:B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AD94E-EFDA-459C-AFB9-9AFD45FDCB6B}">
  <sheetPr codeName="Planilha2"/>
  <dimension ref="A1:M16"/>
  <sheetViews>
    <sheetView workbookViewId="0">
      <selection activeCell="N18" sqref="N18"/>
    </sheetView>
  </sheetViews>
  <sheetFormatPr defaultRowHeight="15" x14ac:dyDescent="0.25"/>
  <cols>
    <col min="3" max="3" width="17.7109375" bestFit="1" customWidth="1"/>
  </cols>
  <sheetData>
    <row r="1" spans="1:13" ht="45" customHeight="1" x14ac:dyDescent="0.25">
      <c r="A1" s="226" t="s">
        <v>22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</row>
    <row r="2" spans="1:13" x14ac:dyDescent="0.25">
      <c r="A2" s="228" t="s">
        <v>12</v>
      </c>
      <c r="B2" s="228"/>
      <c r="C2" s="228" t="s">
        <v>10</v>
      </c>
      <c r="D2" s="228" t="s">
        <v>11</v>
      </c>
      <c r="E2" s="228"/>
      <c r="F2" s="228"/>
      <c r="G2" s="228"/>
      <c r="H2" s="228"/>
      <c r="I2" s="228"/>
      <c r="J2" s="228"/>
      <c r="K2" s="228"/>
      <c r="L2" s="228"/>
      <c r="M2" s="228"/>
    </row>
    <row r="3" spans="1:13" x14ac:dyDescent="0.25">
      <c r="A3" s="228"/>
      <c r="B3" s="228"/>
      <c r="C3" s="228"/>
      <c r="D3" s="1" t="s">
        <v>0</v>
      </c>
      <c r="E3" s="1" t="s">
        <v>1</v>
      </c>
      <c r="F3" s="1" t="s">
        <v>2</v>
      </c>
      <c r="G3" s="1" t="s">
        <v>3</v>
      </c>
      <c r="H3" s="1" t="s">
        <v>4</v>
      </c>
      <c r="I3" s="1" t="s">
        <v>5</v>
      </c>
      <c r="J3" s="1" t="s">
        <v>6</v>
      </c>
      <c r="K3" s="1" t="s">
        <v>7</v>
      </c>
      <c r="L3" s="1" t="s">
        <v>8</v>
      </c>
      <c r="M3" s="1" t="s">
        <v>9</v>
      </c>
    </row>
    <row r="4" spans="1:13" x14ac:dyDescent="0.25">
      <c r="A4" s="229" t="s">
        <v>13</v>
      </c>
      <c r="B4" s="8">
        <v>1456.67</v>
      </c>
      <c r="C4" s="9">
        <v>7.0000000000000007E-2</v>
      </c>
      <c r="D4" s="11">
        <v>8.2899999999999991</v>
      </c>
      <c r="E4" s="11">
        <v>8.69</v>
      </c>
      <c r="F4" s="11">
        <v>9.07</v>
      </c>
      <c r="G4" s="11">
        <v>9.44</v>
      </c>
      <c r="H4" s="11">
        <v>9.81</v>
      </c>
      <c r="I4" s="11">
        <v>10.19</v>
      </c>
      <c r="J4" s="11">
        <v>10.59</v>
      </c>
      <c r="K4" s="11">
        <v>10.96</v>
      </c>
      <c r="L4" s="11">
        <v>11.35</v>
      </c>
      <c r="M4" s="11">
        <v>11.73</v>
      </c>
    </row>
    <row r="5" spans="1:13" x14ac:dyDescent="0.25">
      <c r="A5" s="229"/>
      <c r="B5" s="8">
        <v>2497.15</v>
      </c>
      <c r="C5" s="9">
        <v>0.14000000000000001</v>
      </c>
      <c r="D5" s="11">
        <v>12.49</v>
      </c>
      <c r="E5" s="11">
        <v>13.22</v>
      </c>
      <c r="F5" s="11">
        <v>13.92</v>
      </c>
      <c r="G5" s="11">
        <v>14.64</v>
      </c>
      <c r="H5" s="11">
        <v>15.37</v>
      </c>
      <c r="I5" s="11">
        <v>16.059999999999999</v>
      </c>
      <c r="J5" s="11">
        <v>16.79</v>
      </c>
      <c r="K5" s="11">
        <v>17.510000000000002</v>
      </c>
      <c r="L5" s="11">
        <v>18.2</v>
      </c>
      <c r="M5" s="11">
        <v>18.920000000000002</v>
      </c>
    </row>
    <row r="6" spans="1:13" x14ac:dyDescent="0.25">
      <c r="A6" s="229"/>
      <c r="B6" s="8">
        <v>4994.3</v>
      </c>
      <c r="C6" s="9">
        <v>0.22</v>
      </c>
      <c r="D6" s="11">
        <v>23.13</v>
      </c>
      <c r="E6" s="11">
        <v>24.61</v>
      </c>
      <c r="F6" s="11">
        <v>26.11</v>
      </c>
      <c r="G6" s="11">
        <v>27.59</v>
      </c>
      <c r="H6" s="11">
        <v>29.07</v>
      </c>
      <c r="I6" s="11">
        <v>30.54</v>
      </c>
      <c r="J6" s="11">
        <v>32.020000000000003</v>
      </c>
      <c r="K6" s="11">
        <v>33.520000000000003</v>
      </c>
      <c r="L6" s="11">
        <v>35.01</v>
      </c>
      <c r="M6" s="11">
        <v>36.49</v>
      </c>
    </row>
    <row r="7" spans="1:13" x14ac:dyDescent="0.25">
      <c r="A7" s="229"/>
      <c r="B7" s="8">
        <v>7491.46</v>
      </c>
      <c r="C7" s="9">
        <v>0.28000000000000003</v>
      </c>
      <c r="D7" s="11">
        <v>33.090000000000003</v>
      </c>
      <c r="E7" s="11">
        <v>35.42</v>
      </c>
      <c r="F7" s="11">
        <v>37.75</v>
      </c>
      <c r="G7" s="11">
        <v>40.06</v>
      </c>
      <c r="H7" s="11">
        <v>42.38</v>
      </c>
      <c r="I7" s="11">
        <v>44.68</v>
      </c>
      <c r="J7" s="11">
        <v>47.01</v>
      </c>
      <c r="K7" s="11">
        <v>49.32</v>
      </c>
      <c r="L7" s="11">
        <v>51.66</v>
      </c>
      <c r="M7" s="11">
        <v>53.98</v>
      </c>
    </row>
    <row r="8" spans="1:13" x14ac:dyDescent="0.25">
      <c r="A8" s="229"/>
      <c r="B8" s="8">
        <v>9988.61</v>
      </c>
      <c r="C8" s="9">
        <v>0.35</v>
      </c>
      <c r="D8" s="11">
        <v>42.22</v>
      </c>
      <c r="E8" s="11">
        <v>45.29</v>
      </c>
      <c r="F8" s="11">
        <v>48.34</v>
      </c>
      <c r="G8" s="11">
        <v>51.41</v>
      </c>
      <c r="H8" s="11">
        <v>54.46</v>
      </c>
      <c r="I8" s="11">
        <v>57.54</v>
      </c>
      <c r="J8" s="11">
        <v>60.59</v>
      </c>
      <c r="K8" s="11">
        <v>63.67</v>
      </c>
      <c r="L8" s="11">
        <v>66.72</v>
      </c>
      <c r="M8" s="11">
        <v>69.78</v>
      </c>
    </row>
    <row r="9" spans="1:13" x14ac:dyDescent="0.25">
      <c r="A9" s="229"/>
      <c r="B9" s="8">
        <v>14982.91</v>
      </c>
      <c r="C9" s="9">
        <v>0.39</v>
      </c>
      <c r="D9" s="11">
        <v>58.5</v>
      </c>
      <c r="E9" s="11">
        <v>63.08</v>
      </c>
      <c r="F9" s="11">
        <v>67.69</v>
      </c>
      <c r="G9" s="11">
        <v>72.28</v>
      </c>
      <c r="H9" s="11">
        <v>76.89</v>
      </c>
      <c r="I9" s="11">
        <v>81.5</v>
      </c>
      <c r="J9" s="11">
        <v>86.11</v>
      </c>
      <c r="K9" s="11">
        <v>90.67</v>
      </c>
      <c r="L9" s="11">
        <v>95.29</v>
      </c>
      <c r="M9" s="11">
        <v>99.89</v>
      </c>
    </row>
    <row r="10" spans="1:13" x14ac:dyDescent="0.25">
      <c r="A10" s="229"/>
      <c r="B10" s="8">
        <v>19977.22</v>
      </c>
      <c r="C10" s="9">
        <v>0.42</v>
      </c>
      <c r="D10" s="11">
        <v>74.67</v>
      </c>
      <c r="E10" s="11">
        <v>80.81</v>
      </c>
      <c r="F10" s="11">
        <v>86.93</v>
      </c>
      <c r="G10" s="11">
        <v>93.07</v>
      </c>
      <c r="H10" s="11">
        <v>99.18</v>
      </c>
      <c r="I10" s="11">
        <v>105.31</v>
      </c>
      <c r="J10" s="11">
        <v>111.44</v>
      </c>
      <c r="K10" s="11">
        <v>117.56</v>
      </c>
      <c r="L10" s="11">
        <v>123.68</v>
      </c>
      <c r="M10" s="11">
        <v>129.82</v>
      </c>
    </row>
    <row r="11" spans="1:13" x14ac:dyDescent="0.25">
      <c r="A11" s="229"/>
      <c r="B11" s="8">
        <v>23514.85</v>
      </c>
      <c r="C11" s="9">
        <v>0.46</v>
      </c>
      <c r="D11" s="11">
        <v>103.55</v>
      </c>
      <c r="E11" s="11">
        <v>112.74</v>
      </c>
      <c r="F11" s="11">
        <v>121.93</v>
      </c>
      <c r="G11" s="11">
        <v>131.13</v>
      </c>
      <c r="H11" s="11">
        <v>140.34</v>
      </c>
      <c r="I11" s="11">
        <v>149.52000000000001</v>
      </c>
      <c r="J11" s="11">
        <v>158.72</v>
      </c>
      <c r="K11" s="11">
        <v>167.91</v>
      </c>
      <c r="L11" s="11">
        <v>177.11</v>
      </c>
      <c r="M11" s="11">
        <v>186.32</v>
      </c>
    </row>
    <row r="12" spans="1:13" x14ac:dyDescent="0.25">
      <c r="A12" s="229"/>
      <c r="B12" s="8">
        <v>27052.48</v>
      </c>
      <c r="C12" s="9">
        <v>0.48</v>
      </c>
      <c r="D12" s="11">
        <v>113.87</v>
      </c>
      <c r="E12" s="11">
        <v>124.08</v>
      </c>
      <c r="F12" s="11">
        <v>134.29</v>
      </c>
      <c r="G12" s="11">
        <v>144.49</v>
      </c>
      <c r="H12" s="11">
        <v>154.71</v>
      </c>
      <c r="I12" s="11">
        <v>164.92</v>
      </c>
      <c r="J12" s="11">
        <v>175.13</v>
      </c>
      <c r="K12" s="11">
        <v>185.33</v>
      </c>
      <c r="L12" s="11">
        <v>192.56</v>
      </c>
      <c r="M12" s="11">
        <v>205.76</v>
      </c>
    </row>
    <row r="13" spans="1:13" x14ac:dyDescent="0.25">
      <c r="A13" s="229"/>
      <c r="B13" s="8">
        <v>31214.400000000001</v>
      </c>
      <c r="C13" s="9">
        <v>0.5</v>
      </c>
      <c r="D13" s="11">
        <v>131.80000000000001</v>
      </c>
      <c r="E13" s="11">
        <v>143.87</v>
      </c>
      <c r="F13" s="11">
        <v>155.93</v>
      </c>
      <c r="G13" s="11">
        <v>168.02</v>
      </c>
      <c r="H13" s="11">
        <v>180.07</v>
      </c>
      <c r="I13" s="11">
        <v>192.13</v>
      </c>
      <c r="J13" s="11">
        <v>204.2</v>
      </c>
      <c r="K13" s="11">
        <v>216.27</v>
      </c>
      <c r="L13" s="11">
        <v>228.34</v>
      </c>
      <c r="M13" s="11">
        <v>240.41</v>
      </c>
    </row>
    <row r="14" spans="1:13" x14ac:dyDescent="0.25">
      <c r="A14" s="229"/>
      <c r="B14" s="8">
        <v>37457.279999999999</v>
      </c>
      <c r="C14" s="9">
        <v>0.5</v>
      </c>
      <c r="D14" s="11">
        <v>158.41</v>
      </c>
      <c r="E14" s="11">
        <v>172.89</v>
      </c>
      <c r="F14" s="11">
        <v>187.36</v>
      </c>
      <c r="G14" s="11">
        <v>201.87</v>
      </c>
      <c r="H14" s="11">
        <v>216.32</v>
      </c>
      <c r="I14" s="11">
        <v>230.8</v>
      </c>
      <c r="J14" s="11">
        <v>245.27</v>
      </c>
      <c r="K14" s="11">
        <v>259.76</v>
      </c>
      <c r="L14" s="11">
        <v>274.26</v>
      </c>
      <c r="M14" s="11">
        <v>288.72000000000003</v>
      </c>
    </row>
    <row r="15" spans="1:13" x14ac:dyDescent="0.25">
      <c r="A15" s="4" t="s">
        <v>14</v>
      </c>
      <c r="B15" s="8">
        <v>37457.279999999999</v>
      </c>
      <c r="C15" s="9">
        <v>0.5</v>
      </c>
      <c r="D15" s="11">
        <v>190.58</v>
      </c>
      <c r="E15" s="11">
        <v>207.95</v>
      </c>
      <c r="F15" s="11">
        <v>225.32</v>
      </c>
      <c r="G15" s="11">
        <v>242.73</v>
      </c>
      <c r="H15" s="11">
        <v>260.08</v>
      </c>
      <c r="I15" s="11">
        <v>277.45</v>
      </c>
      <c r="J15" s="11">
        <v>294.82</v>
      </c>
      <c r="K15" s="11">
        <v>312.22000000000003</v>
      </c>
      <c r="L15" s="11">
        <v>329.6</v>
      </c>
      <c r="M15" s="11">
        <v>346.96</v>
      </c>
    </row>
    <row r="16" spans="1:13" x14ac:dyDescent="0.25">
      <c r="A16" s="4" t="s">
        <v>16</v>
      </c>
      <c r="B16" s="12">
        <v>364.3</v>
      </c>
      <c r="C16" s="9">
        <v>0.5</v>
      </c>
      <c r="D16" s="10" t="s">
        <v>15</v>
      </c>
      <c r="E16" s="10" t="s">
        <v>15</v>
      </c>
      <c r="F16" s="10" t="s">
        <v>15</v>
      </c>
      <c r="G16" s="10" t="s">
        <v>15</v>
      </c>
      <c r="H16" s="10" t="s">
        <v>15</v>
      </c>
      <c r="I16" s="10" t="s">
        <v>15</v>
      </c>
      <c r="J16" s="10" t="s">
        <v>15</v>
      </c>
      <c r="K16" s="10" t="s">
        <v>15</v>
      </c>
      <c r="L16" s="10" t="s">
        <v>15</v>
      </c>
      <c r="M16" s="10" t="s">
        <v>15</v>
      </c>
    </row>
  </sheetData>
  <sheetProtection algorithmName="SHA-512" hashValue="skfLtwRyoOlPk3X4fj2KxS5mo3MgMOgEXrErRFWveTE260KNoiw/ZLfbAX1Wg7/3ZPJhz0I6k9UhZlyN5l/uag==" saltValue="XtTrUR7qEpEZFTVs5pDdMg==" spinCount="100000" sheet="1" objects="1" scenarios="1"/>
  <mergeCells count="5">
    <mergeCell ref="A1:M1"/>
    <mergeCell ref="A2:B3"/>
    <mergeCell ref="C2:C3"/>
    <mergeCell ref="D2:M2"/>
    <mergeCell ref="A4:A1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CBA4D-261C-4D5B-853D-88217BAC1DA6}">
  <sheetPr codeName="Planilha3"/>
  <dimension ref="A1:M16"/>
  <sheetViews>
    <sheetView workbookViewId="0">
      <selection sqref="A1:M1"/>
    </sheetView>
  </sheetViews>
  <sheetFormatPr defaultRowHeight="15" x14ac:dyDescent="0.25"/>
  <cols>
    <col min="1" max="1" width="10" bestFit="1" customWidth="1"/>
    <col min="3" max="3" width="17.7109375" bestFit="1" customWidth="1"/>
    <col min="4" max="13" width="7" bestFit="1" customWidth="1"/>
  </cols>
  <sheetData>
    <row r="1" spans="1:13" ht="45" customHeight="1" x14ac:dyDescent="0.25">
      <c r="A1" s="230" t="s">
        <v>17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</row>
    <row r="2" spans="1:13" x14ac:dyDescent="0.25">
      <c r="A2" s="228" t="s">
        <v>12</v>
      </c>
      <c r="B2" s="228"/>
      <c r="C2" s="228" t="s">
        <v>10</v>
      </c>
      <c r="D2" s="228" t="s">
        <v>11</v>
      </c>
      <c r="E2" s="228"/>
      <c r="F2" s="228"/>
      <c r="G2" s="228"/>
      <c r="H2" s="228"/>
      <c r="I2" s="228"/>
      <c r="J2" s="228"/>
      <c r="K2" s="228"/>
      <c r="L2" s="228"/>
      <c r="M2" s="228"/>
    </row>
    <row r="3" spans="1:13" x14ac:dyDescent="0.25">
      <c r="A3" s="228"/>
      <c r="B3" s="228"/>
      <c r="C3" s="228"/>
      <c r="D3" s="1" t="s">
        <v>0</v>
      </c>
      <c r="E3" s="1" t="s">
        <v>1</v>
      </c>
      <c r="F3" s="1" t="s">
        <v>2</v>
      </c>
      <c r="G3" s="1" t="s">
        <v>3</v>
      </c>
      <c r="H3" s="1" t="s">
        <v>4</v>
      </c>
      <c r="I3" s="1" t="s">
        <v>5</v>
      </c>
      <c r="J3" s="1" t="s">
        <v>6</v>
      </c>
      <c r="K3" s="1" t="s">
        <v>7</v>
      </c>
      <c r="L3" s="1" t="s">
        <v>8</v>
      </c>
      <c r="M3" s="1" t="s">
        <v>9</v>
      </c>
    </row>
    <row r="4" spans="1:13" x14ac:dyDescent="0.25">
      <c r="A4" s="229" t="s">
        <v>13</v>
      </c>
      <c r="B4" s="2">
        <v>1456.67</v>
      </c>
      <c r="C4" s="3">
        <v>7.0000000000000007E-2</v>
      </c>
      <c r="D4" s="6">
        <v>20</v>
      </c>
      <c r="E4" s="6">
        <v>24.1</v>
      </c>
      <c r="F4" s="6">
        <v>27.72</v>
      </c>
      <c r="G4" s="6">
        <v>30.49</v>
      </c>
      <c r="H4" s="6">
        <v>33.54</v>
      </c>
      <c r="I4" s="6">
        <v>47.72</v>
      </c>
      <c r="J4" s="6">
        <v>57.27</v>
      </c>
      <c r="K4" s="6">
        <v>62.99</v>
      </c>
      <c r="L4" s="6">
        <v>75.59</v>
      </c>
      <c r="M4" s="6">
        <v>90.71</v>
      </c>
    </row>
    <row r="5" spans="1:13" x14ac:dyDescent="0.25">
      <c r="A5" s="229"/>
      <c r="B5" s="2">
        <v>2497.15</v>
      </c>
      <c r="C5" s="3">
        <v>0.14000000000000001</v>
      </c>
      <c r="D5" s="6">
        <v>26.56</v>
      </c>
      <c r="E5" s="6">
        <v>32.01</v>
      </c>
      <c r="F5" s="6">
        <v>36.81</v>
      </c>
      <c r="G5" s="6">
        <v>40.5</v>
      </c>
      <c r="H5" s="6">
        <v>44.54</v>
      </c>
      <c r="I5" s="6">
        <v>63.39</v>
      </c>
      <c r="J5" s="6">
        <v>76.06</v>
      </c>
      <c r="K5" s="6">
        <v>83.67</v>
      </c>
      <c r="L5" s="6">
        <v>100.4</v>
      </c>
      <c r="M5" s="6">
        <v>120.48</v>
      </c>
    </row>
    <row r="6" spans="1:13" x14ac:dyDescent="0.25">
      <c r="A6" s="229"/>
      <c r="B6" s="2">
        <v>4994.3</v>
      </c>
      <c r="C6" s="3">
        <v>0.22</v>
      </c>
      <c r="D6" s="6">
        <v>43.37</v>
      </c>
      <c r="E6" s="6">
        <v>52.26</v>
      </c>
      <c r="F6" s="6">
        <v>60.1</v>
      </c>
      <c r="G6" s="6">
        <v>66.11</v>
      </c>
      <c r="H6" s="6">
        <v>72.73</v>
      </c>
      <c r="I6" s="6">
        <v>103.49</v>
      </c>
      <c r="J6" s="6">
        <v>124.18</v>
      </c>
      <c r="K6" s="6">
        <v>136.6</v>
      </c>
      <c r="L6" s="6">
        <v>163.92</v>
      </c>
      <c r="M6" s="6">
        <v>196.71</v>
      </c>
    </row>
    <row r="7" spans="1:13" x14ac:dyDescent="0.25">
      <c r="A7" s="229"/>
      <c r="B7" s="2">
        <v>7491.46</v>
      </c>
      <c r="C7" s="3">
        <v>0.28000000000000003</v>
      </c>
      <c r="D7" s="6">
        <v>54.7</v>
      </c>
      <c r="E7" s="6">
        <v>65.92</v>
      </c>
      <c r="F7" s="6">
        <v>75.81</v>
      </c>
      <c r="G7" s="6">
        <v>83.39</v>
      </c>
      <c r="H7" s="6">
        <v>91.73</v>
      </c>
      <c r="I7" s="6">
        <v>130.53</v>
      </c>
      <c r="J7" s="6">
        <v>156.63999999999999</v>
      </c>
      <c r="K7" s="6">
        <v>172.3</v>
      </c>
      <c r="L7" s="6">
        <v>206.76</v>
      </c>
      <c r="M7" s="6">
        <v>248.12</v>
      </c>
    </row>
    <row r="8" spans="1:13" x14ac:dyDescent="0.25">
      <c r="A8" s="229"/>
      <c r="B8" s="2">
        <v>9988.61</v>
      </c>
      <c r="C8" s="3">
        <v>0.35</v>
      </c>
      <c r="D8" s="6">
        <v>61.54</v>
      </c>
      <c r="E8" s="6">
        <v>74.16</v>
      </c>
      <c r="F8" s="6">
        <v>85.28</v>
      </c>
      <c r="G8" s="6">
        <v>93.81</v>
      </c>
      <c r="H8" s="6">
        <v>103.19</v>
      </c>
      <c r="I8" s="6">
        <v>146.84</v>
      </c>
      <c r="J8" s="6">
        <v>176.2</v>
      </c>
      <c r="K8" s="6">
        <v>193.82</v>
      </c>
      <c r="L8" s="6">
        <v>232.59</v>
      </c>
      <c r="M8" s="6">
        <v>279.10000000000002</v>
      </c>
    </row>
    <row r="9" spans="1:13" x14ac:dyDescent="0.25">
      <c r="A9" s="229"/>
      <c r="B9" s="2">
        <v>14982.91</v>
      </c>
      <c r="C9" s="3">
        <v>0.39</v>
      </c>
      <c r="D9" s="6">
        <v>75.180000000000007</v>
      </c>
      <c r="E9" s="6">
        <v>90.6</v>
      </c>
      <c r="F9" s="6">
        <v>104.19</v>
      </c>
      <c r="G9" s="6">
        <v>114.61</v>
      </c>
      <c r="H9" s="6">
        <v>126.08</v>
      </c>
      <c r="I9" s="6">
        <v>179.4</v>
      </c>
      <c r="J9" s="6">
        <v>215.28</v>
      </c>
      <c r="K9" s="6">
        <v>236.81</v>
      </c>
      <c r="L9" s="6">
        <v>284.17</v>
      </c>
      <c r="M9" s="6">
        <v>341</v>
      </c>
    </row>
    <row r="10" spans="1:13" x14ac:dyDescent="0.25">
      <c r="A10" s="229"/>
      <c r="B10" s="2">
        <v>19977.22</v>
      </c>
      <c r="C10" s="3">
        <v>0.42</v>
      </c>
      <c r="D10" s="6">
        <v>84.62</v>
      </c>
      <c r="E10" s="6">
        <v>101.98</v>
      </c>
      <c r="F10" s="6">
        <v>117.28</v>
      </c>
      <c r="G10" s="6">
        <v>129</v>
      </c>
      <c r="H10" s="6">
        <v>141.9</v>
      </c>
      <c r="I10" s="6">
        <v>201.92</v>
      </c>
      <c r="J10" s="6">
        <v>242.31</v>
      </c>
      <c r="K10" s="6">
        <v>266.54000000000002</v>
      </c>
      <c r="L10" s="6">
        <v>319.85000000000002</v>
      </c>
      <c r="M10" s="6">
        <v>383.82</v>
      </c>
    </row>
    <row r="11" spans="1:13" x14ac:dyDescent="0.25">
      <c r="A11" s="229"/>
      <c r="B11" s="2">
        <v>23514.85</v>
      </c>
      <c r="C11" s="3">
        <v>0.46</v>
      </c>
      <c r="D11" s="6">
        <v>103.55</v>
      </c>
      <c r="E11" s="6">
        <v>124.69</v>
      </c>
      <c r="F11" s="6">
        <v>143.4</v>
      </c>
      <c r="G11" s="6">
        <v>157.74</v>
      </c>
      <c r="H11" s="6">
        <v>173.51</v>
      </c>
      <c r="I11" s="6">
        <v>246.9</v>
      </c>
      <c r="J11" s="6">
        <v>296.27999999999997</v>
      </c>
      <c r="K11" s="6">
        <v>325.89999999999998</v>
      </c>
      <c r="L11" s="6">
        <v>391.09</v>
      </c>
      <c r="M11" s="6">
        <v>469.3</v>
      </c>
    </row>
    <row r="12" spans="1:13" x14ac:dyDescent="0.25">
      <c r="A12" s="229"/>
      <c r="B12" s="2">
        <v>27052.48</v>
      </c>
      <c r="C12" s="3">
        <v>0.48</v>
      </c>
      <c r="D12" s="6">
        <v>113.87</v>
      </c>
      <c r="E12" s="6">
        <v>137.16</v>
      </c>
      <c r="F12" s="6">
        <v>157.74</v>
      </c>
      <c r="G12" s="6">
        <v>173.51</v>
      </c>
      <c r="H12" s="6">
        <v>190.86</v>
      </c>
      <c r="I12" s="6">
        <v>271.58999999999997</v>
      </c>
      <c r="J12" s="6">
        <v>325.89999999999998</v>
      </c>
      <c r="K12" s="6">
        <v>358.5</v>
      </c>
      <c r="L12" s="6">
        <v>430.19</v>
      </c>
      <c r="M12" s="6">
        <v>516.23</v>
      </c>
    </row>
    <row r="13" spans="1:13" x14ac:dyDescent="0.25">
      <c r="A13" s="229"/>
      <c r="B13" s="2">
        <v>31214.400000000001</v>
      </c>
      <c r="C13" s="3">
        <v>0.5</v>
      </c>
      <c r="D13" s="6">
        <v>131.80000000000001</v>
      </c>
      <c r="E13" s="6">
        <v>150.88</v>
      </c>
      <c r="F13" s="6">
        <v>173.51</v>
      </c>
      <c r="G13" s="6">
        <v>190.86</v>
      </c>
      <c r="H13" s="6">
        <v>209.95</v>
      </c>
      <c r="I13" s="6">
        <v>298.75</v>
      </c>
      <c r="J13" s="6">
        <v>358.5</v>
      </c>
      <c r="K13" s="6">
        <v>394.34</v>
      </c>
      <c r="L13" s="6">
        <v>473.21</v>
      </c>
      <c r="M13" s="6">
        <v>567.86</v>
      </c>
    </row>
    <row r="14" spans="1:13" x14ac:dyDescent="0.25">
      <c r="A14" s="229"/>
      <c r="B14" s="2">
        <v>37457.279999999999</v>
      </c>
      <c r="C14" s="3">
        <v>0.5</v>
      </c>
      <c r="D14" s="6">
        <v>158.41</v>
      </c>
      <c r="E14" s="6">
        <v>172.89</v>
      </c>
      <c r="F14" s="6">
        <v>190.86</v>
      </c>
      <c r="G14" s="6">
        <v>209.95</v>
      </c>
      <c r="H14" s="6">
        <v>230.94</v>
      </c>
      <c r="I14" s="6">
        <v>328.62</v>
      </c>
      <c r="J14" s="6">
        <v>394.34</v>
      </c>
      <c r="K14" s="6">
        <v>433.78</v>
      </c>
      <c r="L14" s="6">
        <v>520.54</v>
      </c>
      <c r="M14" s="6">
        <v>624.64</v>
      </c>
    </row>
    <row r="15" spans="1:13" x14ac:dyDescent="0.25">
      <c r="A15" s="4" t="s">
        <v>14</v>
      </c>
      <c r="B15" s="2">
        <v>37457.279999999999</v>
      </c>
      <c r="C15" s="3">
        <v>0.5</v>
      </c>
      <c r="D15" s="6">
        <v>190.58</v>
      </c>
      <c r="E15" s="6">
        <v>207.95</v>
      </c>
      <c r="F15" s="6">
        <v>225.32</v>
      </c>
      <c r="G15" s="6">
        <v>242.73</v>
      </c>
      <c r="H15" s="6">
        <v>260.08</v>
      </c>
      <c r="I15" s="6">
        <v>361.48</v>
      </c>
      <c r="J15" s="6">
        <v>433.78</v>
      </c>
      <c r="K15" s="6">
        <v>477.16</v>
      </c>
      <c r="L15" s="6">
        <v>572.59</v>
      </c>
      <c r="M15" s="6">
        <v>687.11</v>
      </c>
    </row>
    <row r="16" spans="1:13" x14ac:dyDescent="0.25">
      <c r="A16" s="4" t="s">
        <v>16</v>
      </c>
      <c r="B16" s="4">
        <v>398.82</v>
      </c>
      <c r="C16" s="3">
        <v>0.5</v>
      </c>
      <c r="D16" s="4" t="s">
        <v>15</v>
      </c>
      <c r="E16" s="4" t="s">
        <v>15</v>
      </c>
      <c r="F16" s="4" t="s">
        <v>15</v>
      </c>
      <c r="G16" s="4" t="s">
        <v>15</v>
      </c>
      <c r="H16" s="4" t="s">
        <v>15</v>
      </c>
      <c r="I16" s="4" t="s">
        <v>15</v>
      </c>
      <c r="J16" s="4" t="s">
        <v>15</v>
      </c>
      <c r="K16" s="4" t="s">
        <v>15</v>
      </c>
      <c r="L16" s="4" t="s">
        <v>15</v>
      </c>
      <c r="M16" s="4" t="s">
        <v>15</v>
      </c>
    </row>
  </sheetData>
  <sheetProtection algorithmName="SHA-512" hashValue="eVcXpWxK9o7e452JVKnrt7i3AD9dqClVGR3jALLE5ykWno+N0T3/Q4Ke6MkvTdP0bgITbdVZOlzOL1ui6wuOrw==" saltValue="kojf21+KjMtFMZ7gvhlm/A==" spinCount="100000" sheet="1" objects="1" scenarios="1"/>
  <mergeCells count="5">
    <mergeCell ref="A1:M1"/>
    <mergeCell ref="D2:M2"/>
    <mergeCell ref="C2:C3"/>
    <mergeCell ref="A2:B3"/>
    <mergeCell ref="A4:A1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0AB57-67C9-4BDD-81A9-EEACE6F3CB06}">
  <sheetPr codeName="Planilha5"/>
  <dimension ref="A1:P16"/>
  <sheetViews>
    <sheetView workbookViewId="0">
      <selection sqref="A1:M1"/>
    </sheetView>
  </sheetViews>
  <sheetFormatPr defaultRowHeight="15" x14ac:dyDescent="0.25"/>
  <cols>
    <col min="3" max="3" width="17.7109375" bestFit="1" customWidth="1"/>
    <col min="15" max="15" width="15.85546875" bestFit="1" customWidth="1"/>
  </cols>
  <sheetData>
    <row r="1" spans="1:16" s="5" customFormat="1" ht="45" customHeight="1" thickBot="1" x14ac:dyDescent="0.3">
      <c r="A1" s="232" t="s">
        <v>19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O1" s="29" t="s">
        <v>20</v>
      </c>
      <c r="P1" s="30">
        <f>Principal!C20</f>
        <v>0.11</v>
      </c>
    </row>
    <row r="2" spans="1:16" x14ac:dyDescent="0.25">
      <c r="A2" s="228" t="s">
        <v>12</v>
      </c>
      <c r="B2" s="228"/>
      <c r="C2" s="228" t="s">
        <v>10</v>
      </c>
      <c r="D2" s="228" t="s">
        <v>11</v>
      </c>
      <c r="E2" s="228"/>
      <c r="F2" s="228"/>
      <c r="G2" s="228"/>
      <c r="H2" s="228"/>
      <c r="I2" s="228"/>
      <c r="J2" s="228"/>
      <c r="K2" s="228"/>
      <c r="L2" s="228"/>
      <c r="M2" s="228"/>
    </row>
    <row r="3" spans="1:16" x14ac:dyDescent="0.25">
      <c r="A3" s="228"/>
      <c r="B3" s="228"/>
      <c r="C3" s="228"/>
      <c r="D3" s="1" t="s">
        <v>0</v>
      </c>
      <c r="E3" s="1" t="s">
        <v>1</v>
      </c>
      <c r="F3" s="1" t="s">
        <v>2</v>
      </c>
      <c r="G3" s="1" t="s">
        <v>3</v>
      </c>
      <c r="H3" s="1" t="s">
        <v>4</v>
      </c>
      <c r="I3" s="1" t="s">
        <v>5</v>
      </c>
      <c r="J3" s="1" t="s">
        <v>6</v>
      </c>
      <c r="K3" s="1" t="s">
        <v>7</v>
      </c>
      <c r="L3" s="1" t="s">
        <v>8</v>
      </c>
      <c r="M3" s="1" t="s">
        <v>9</v>
      </c>
    </row>
    <row r="4" spans="1:16" x14ac:dyDescent="0.25">
      <c r="A4" s="229" t="s">
        <v>13</v>
      </c>
      <c r="B4" s="2">
        <v>1456.67</v>
      </c>
      <c r="C4" s="3">
        <v>7.0000000000000007E-2</v>
      </c>
      <c r="D4" s="45">
        <f>Anexo_I!D4*(1+$P$1)</f>
        <v>22.200000000000003</v>
      </c>
      <c r="E4" s="45">
        <f>Anexo_I!E4*(1+$P$1)</f>
        <v>26.751000000000005</v>
      </c>
      <c r="F4" s="45">
        <f>Anexo_I!F4*(1+$P$1)</f>
        <v>30.769200000000001</v>
      </c>
      <c r="G4" s="45">
        <f>Anexo_I!G4*(1+$P$1)</f>
        <v>33.843899999999998</v>
      </c>
      <c r="H4" s="45">
        <f>Anexo_I!H4*(1+$P$1)</f>
        <v>37.229400000000005</v>
      </c>
      <c r="I4" s="45">
        <f>Anexo_I!I4*(1+$P$1)</f>
        <v>52.969200000000001</v>
      </c>
      <c r="J4" s="45">
        <f>Anexo_I!J4*(1+$P$1)</f>
        <v>63.569700000000012</v>
      </c>
      <c r="K4" s="45">
        <f>Anexo_I!K4*(1+$P$1)</f>
        <v>69.918900000000008</v>
      </c>
      <c r="L4" s="45">
        <f>Anexo_I!L4*(1+$P$1)</f>
        <v>83.904900000000012</v>
      </c>
      <c r="M4" s="45">
        <f>Anexo_I!M4*(1+$P$1)</f>
        <v>100.68810000000001</v>
      </c>
    </row>
    <row r="5" spans="1:16" x14ac:dyDescent="0.25">
      <c r="A5" s="229"/>
      <c r="B5" s="2">
        <v>2497.15</v>
      </c>
      <c r="C5" s="3">
        <v>0.14000000000000001</v>
      </c>
      <c r="D5" s="45">
        <f>Anexo_I!D5*(1+$P$1)</f>
        <v>29.4816</v>
      </c>
      <c r="E5" s="45">
        <f>Anexo_I!E5*(1+$P$1)</f>
        <v>35.531100000000002</v>
      </c>
      <c r="F5" s="45">
        <f>Anexo_I!F5*(1+$P$1)</f>
        <v>40.859100000000005</v>
      </c>
      <c r="G5" s="45">
        <f>Anexo_I!G5*(1+$P$1)</f>
        <v>44.955000000000005</v>
      </c>
      <c r="H5" s="45">
        <f>Anexo_I!H5*(1+$P$1)</f>
        <v>49.439400000000006</v>
      </c>
      <c r="I5" s="45">
        <f>Anexo_I!I5*(1+$P$1)</f>
        <v>70.36290000000001</v>
      </c>
      <c r="J5" s="45">
        <f>Anexo_I!J5*(1+$P$1)</f>
        <v>84.426600000000008</v>
      </c>
      <c r="K5" s="45">
        <f>Anexo_I!K5*(1+$P$1)</f>
        <v>92.873700000000014</v>
      </c>
      <c r="L5" s="45">
        <f>Anexo_I!L5*(1+$P$1)</f>
        <v>111.44400000000002</v>
      </c>
      <c r="M5" s="45">
        <f>Anexo_I!M5*(1+$P$1)</f>
        <v>133.73280000000003</v>
      </c>
    </row>
    <row r="6" spans="1:16" x14ac:dyDescent="0.25">
      <c r="A6" s="229"/>
      <c r="B6" s="2">
        <v>4994.3</v>
      </c>
      <c r="C6" s="3">
        <v>0.22</v>
      </c>
      <c r="D6" s="45">
        <f>Anexo_I!D6*(1+$P$1)</f>
        <v>48.140700000000002</v>
      </c>
      <c r="E6" s="45">
        <f>Anexo_I!E6*(1+$P$1)</f>
        <v>58.008600000000001</v>
      </c>
      <c r="F6" s="45">
        <f>Anexo_I!F6*(1+$P$1)</f>
        <v>66.711000000000013</v>
      </c>
      <c r="G6" s="45">
        <f>Anexo_I!G6*(1+$P$1)</f>
        <v>73.382100000000008</v>
      </c>
      <c r="H6" s="45">
        <f>Anexo_I!H6*(1+$P$1)</f>
        <v>80.730300000000014</v>
      </c>
      <c r="I6" s="45">
        <f>Anexo_I!I6*(1+$P$1)</f>
        <v>114.87390000000001</v>
      </c>
      <c r="J6" s="45">
        <f>Anexo_I!J6*(1+$P$1)</f>
        <v>137.83980000000003</v>
      </c>
      <c r="K6" s="45">
        <f>Anexo_I!K6*(1+$P$1)</f>
        <v>151.626</v>
      </c>
      <c r="L6" s="45">
        <f>Anexo_I!L6*(1+$P$1)</f>
        <v>181.9512</v>
      </c>
      <c r="M6" s="45">
        <f>Anexo_I!M6*(1+$P$1)</f>
        <v>218.34810000000002</v>
      </c>
    </row>
    <row r="7" spans="1:16" x14ac:dyDescent="0.25">
      <c r="A7" s="229"/>
      <c r="B7" s="2">
        <v>7491.46</v>
      </c>
      <c r="C7" s="3">
        <v>0.28000000000000003</v>
      </c>
      <c r="D7" s="45">
        <f>Anexo_I!D7*(1+$P$1)</f>
        <v>60.717000000000006</v>
      </c>
      <c r="E7" s="45">
        <f>Anexo_I!E7*(1+$P$1)</f>
        <v>73.171200000000013</v>
      </c>
      <c r="F7" s="45">
        <f>Anexo_I!F7*(1+$P$1)</f>
        <v>84.149100000000004</v>
      </c>
      <c r="G7" s="45">
        <f>Anexo_I!G7*(1+$P$1)</f>
        <v>92.562900000000013</v>
      </c>
      <c r="H7" s="45">
        <f>Anexo_I!H7*(1+$P$1)</f>
        <v>101.82030000000002</v>
      </c>
      <c r="I7" s="45">
        <f>Anexo_I!I7*(1+$P$1)</f>
        <v>144.88830000000002</v>
      </c>
      <c r="J7" s="45">
        <f>Anexo_I!J7*(1+$P$1)</f>
        <v>173.87039999999999</v>
      </c>
      <c r="K7" s="45">
        <f>Anexo_I!K7*(1+$P$1)</f>
        <v>191.25300000000004</v>
      </c>
      <c r="L7" s="45">
        <f>Anexo_I!L7*(1+$P$1)</f>
        <v>229.50360000000001</v>
      </c>
      <c r="M7" s="45">
        <f>Anexo_I!M7*(1+$P$1)</f>
        <v>275.41320000000002</v>
      </c>
    </row>
    <row r="8" spans="1:16" x14ac:dyDescent="0.25">
      <c r="A8" s="229"/>
      <c r="B8" s="2">
        <v>9988.61</v>
      </c>
      <c r="C8" s="3">
        <v>0.35</v>
      </c>
      <c r="D8" s="45">
        <f>Anexo_I!D8*(1+$P$1)</f>
        <v>68.309400000000011</v>
      </c>
      <c r="E8" s="45">
        <f>Anexo_I!E8*(1+$P$1)</f>
        <v>82.317599999999999</v>
      </c>
      <c r="F8" s="45">
        <f>Anexo_I!F8*(1+$P$1)</f>
        <v>94.660800000000009</v>
      </c>
      <c r="G8" s="45">
        <f>Anexo_I!G8*(1+$P$1)</f>
        <v>104.12910000000001</v>
      </c>
      <c r="H8" s="45">
        <f>Anexo_I!H8*(1+$P$1)</f>
        <v>114.54090000000001</v>
      </c>
      <c r="I8" s="45">
        <f>Anexo_I!I8*(1+$P$1)</f>
        <v>162.99240000000003</v>
      </c>
      <c r="J8" s="45">
        <f>Anexo_I!J8*(1+$P$1)</f>
        <v>195.58199999999999</v>
      </c>
      <c r="K8" s="45">
        <f>Anexo_I!K8*(1+$P$1)</f>
        <v>215.14020000000002</v>
      </c>
      <c r="L8" s="45">
        <f>Anexo_I!L8*(1+$P$1)</f>
        <v>258.17490000000004</v>
      </c>
      <c r="M8" s="45">
        <f>Anexo_I!M8*(1+$P$1)</f>
        <v>309.80100000000004</v>
      </c>
    </row>
    <row r="9" spans="1:16" x14ac:dyDescent="0.25">
      <c r="A9" s="229"/>
      <c r="B9" s="2">
        <v>14982.91</v>
      </c>
      <c r="C9" s="3">
        <v>0.39</v>
      </c>
      <c r="D9" s="45">
        <f>Anexo_I!D9*(1+$P$1)</f>
        <v>83.44980000000001</v>
      </c>
      <c r="E9" s="45">
        <f>Anexo_I!E9*(1+$P$1)</f>
        <v>100.566</v>
      </c>
      <c r="F9" s="45">
        <f>Anexo_I!F9*(1+$P$1)</f>
        <v>115.65090000000001</v>
      </c>
      <c r="G9" s="45">
        <f>Anexo_I!G9*(1+$P$1)</f>
        <v>127.21710000000002</v>
      </c>
      <c r="H9" s="45">
        <f>Anexo_I!H9*(1+$P$1)</f>
        <v>139.94880000000001</v>
      </c>
      <c r="I9" s="45">
        <f>Anexo_I!I9*(1+$P$1)</f>
        <v>199.13400000000001</v>
      </c>
      <c r="J9" s="45">
        <f>Anexo_I!J9*(1+$P$1)</f>
        <v>238.96080000000003</v>
      </c>
      <c r="K9" s="45">
        <f>Anexo_I!K9*(1+$P$1)</f>
        <v>262.85910000000001</v>
      </c>
      <c r="L9" s="45">
        <f>Anexo_I!L9*(1+$P$1)</f>
        <v>315.42870000000005</v>
      </c>
      <c r="M9" s="45">
        <f>Anexo_I!M9*(1+$P$1)</f>
        <v>378.51000000000005</v>
      </c>
    </row>
    <row r="10" spans="1:16" x14ac:dyDescent="0.25">
      <c r="A10" s="229"/>
      <c r="B10" s="2">
        <v>19977.22</v>
      </c>
      <c r="C10" s="3">
        <v>0.42</v>
      </c>
      <c r="D10" s="45">
        <f>Anexo_I!D10*(1+$P$1)</f>
        <v>93.928200000000018</v>
      </c>
      <c r="E10" s="45">
        <f>Anexo_I!E10*(1+$P$1)</f>
        <v>113.19780000000002</v>
      </c>
      <c r="F10" s="45">
        <f>Anexo_I!F10*(1+$P$1)</f>
        <v>130.1808</v>
      </c>
      <c r="G10" s="45">
        <f>Anexo_I!G10*(1+$P$1)</f>
        <v>143.19000000000003</v>
      </c>
      <c r="H10" s="45">
        <f>Anexo_I!H10*(1+$P$1)</f>
        <v>157.50900000000001</v>
      </c>
      <c r="I10" s="45">
        <f>Anexo_I!I10*(1+$P$1)</f>
        <v>224.13120000000001</v>
      </c>
      <c r="J10" s="45">
        <f>Anexo_I!J10*(1+$P$1)</f>
        <v>268.96410000000003</v>
      </c>
      <c r="K10" s="45">
        <f>Anexo_I!K10*(1+$P$1)</f>
        <v>295.85940000000005</v>
      </c>
      <c r="L10" s="45">
        <f>Anexo_I!L10*(1+$P$1)</f>
        <v>355.03350000000006</v>
      </c>
      <c r="M10" s="45">
        <f>Anexo_I!M10*(1+$P$1)</f>
        <v>426.04020000000003</v>
      </c>
    </row>
    <row r="11" spans="1:16" x14ac:dyDescent="0.25">
      <c r="A11" s="229"/>
      <c r="B11" s="2">
        <v>23514.85</v>
      </c>
      <c r="C11" s="3">
        <v>0.46</v>
      </c>
      <c r="D11" s="45">
        <f>Anexo_I!D11*(1+$P$1)</f>
        <v>114.9405</v>
      </c>
      <c r="E11" s="45">
        <f>Anexo_I!E11*(1+$P$1)</f>
        <v>138.4059</v>
      </c>
      <c r="F11" s="45">
        <f>Anexo_I!F11*(1+$P$1)</f>
        <v>159.17400000000001</v>
      </c>
      <c r="G11" s="45">
        <f>Anexo_I!G11*(1+$P$1)</f>
        <v>175.09140000000002</v>
      </c>
      <c r="H11" s="45">
        <f>Anexo_I!H11*(1+$P$1)</f>
        <v>192.59610000000001</v>
      </c>
      <c r="I11" s="45">
        <f>Anexo_I!I11*(1+$P$1)</f>
        <v>274.05900000000003</v>
      </c>
      <c r="J11" s="45">
        <f>Anexo_I!J11*(1+$P$1)</f>
        <v>328.87079999999997</v>
      </c>
      <c r="K11" s="45">
        <f>Anexo_I!K11*(1+$P$1)</f>
        <v>361.74900000000002</v>
      </c>
      <c r="L11" s="45">
        <f>Anexo_I!L11*(1+$P$1)</f>
        <v>434.10990000000004</v>
      </c>
      <c r="M11" s="45">
        <f>Anexo_I!M11*(1+$P$1)</f>
        <v>520.923</v>
      </c>
    </row>
    <row r="12" spans="1:16" x14ac:dyDescent="0.25">
      <c r="A12" s="229"/>
      <c r="B12" s="2">
        <v>27052.48</v>
      </c>
      <c r="C12" s="3">
        <v>0.48</v>
      </c>
      <c r="D12" s="45">
        <f>Anexo_I!D12*(1+$P$1)</f>
        <v>126.39570000000002</v>
      </c>
      <c r="E12" s="45">
        <f>Anexo_I!E12*(1+$P$1)</f>
        <v>152.24760000000001</v>
      </c>
      <c r="F12" s="45">
        <f>Anexo_I!F12*(1+$P$1)</f>
        <v>175.09140000000002</v>
      </c>
      <c r="G12" s="45">
        <f>Anexo_I!G12*(1+$P$1)</f>
        <v>192.59610000000001</v>
      </c>
      <c r="H12" s="45">
        <f>Anexo_I!H12*(1+$P$1)</f>
        <v>211.85460000000003</v>
      </c>
      <c r="I12" s="45">
        <f>Anexo_I!I12*(1+$P$1)</f>
        <v>301.4649</v>
      </c>
      <c r="J12" s="45">
        <f>Anexo_I!J12*(1+$P$1)</f>
        <v>361.74900000000002</v>
      </c>
      <c r="K12" s="45">
        <f>Anexo_I!K12*(1+$P$1)</f>
        <v>397.93500000000006</v>
      </c>
      <c r="L12" s="45">
        <f>Anexo_I!L12*(1+$P$1)</f>
        <v>477.51090000000005</v>
      </c>
      <c r="M12" s="45">
        <f>Anexo_I!M12*(1+$P$1)</f>
        <v>573.01530000000002</v>
      </c>
    </row>
    <row r="13" spans="1:16" x14ac:dyDescent="0.25">
      <c r="A13" s="229"/>
      <c r="B13" s="2">
        <v>31214.400000000001</v>
      </c>
      <c r="C13" s="3">
        <v>0.5</v>
      </c>
      <c r="D13" s="45">
        <f>Anexo_I!D13*(1+$P$1)</f>
        <v>146.29800000000003</v>
      </c>
      <c r="E13" s="45">
        <f>Anexo_I!E13*(1+$P$1)</f>
        <v>167.4768</v>
      </c>
      <c r="F13" s="45">
        <f>Anexo_I!F13*(1+$P$1)</f>
        <v>192.59610000000001</v>
      </c>
      <c r="G13" s="45">
        <f>Anexo_I!G13*(1+$P$1)</f>
        <v>211.85460000000003</v>
      </c>
      <c r="H13" s="45">
        <f>Anexo_I!H13*(1+$P$1)</f>
        <v>233.0445</v>
      </c>
      <c r="I13" s="45">
        <f>Anexo_I!I13*(1+$P$1)</f>
        <v>331.61250000000001</v>
      </c>
      <c r="J13" s="45">
        <f>Anexo_I!J13*(1+$P$1)</f>
        <v>397.93500000000006</v>
      </c>
      <c r="K13" s="45">
        <f>Anexo_I!K13*(1+$P$1)</f>
        <v>437.7174</v>
      </c>
      <c r="L13" s="45">
        <f>Anexo_I!L13*(1+$P$1)</f>
        <v>525.26310000000001</v>
      </c>
      <c r="M13" s="45">
        <f>Anexo_I!M13*(1+$P$1)</f>
        <v>630.32460000000003</v>
      </c>
    </row>
    <row r="14" spans="1:16" x14ac:dyDescent="0.25">
      <c r="A14" s="229"/>
      <c r="B14" s="2">
        <v>37457.279999999999</v>
      </c>
      <c r="C14" s="3">
        <v>0.5</v>
      </c>
      <c r="D14" s="45">
        <f>Anexo_I!D14*(1+$P$1)</f>
        <v>175.83510000000001</v>
      </c>
      <c r="E14" s="45">
        <f>Anexo_I!E14*(1+$P$1)</f>
        <v>191.90790000000001</v>
      </c>
      <c r="F14" s="45">
        <f>Anexo_I!F14*(1+$P$1)</f>
        <v>211.85460000000003</v>
      </c>
      <c r="G14" s="45">
        <f>Anexo_I!G14*(1+$P$1)</f>
        <v>233.0445</v>
      </c>
      <c r="H14" s="45">
        <f>Anexo_I!H14*(1+$P$1)</f>
        <v>256.34340000000003</v>
      </c>
      <c r="I14" s="45">
        <f>Anexo_I!I14*(1+$P$1)</f>
        <v>364.76820000000004</v>
      </c>
      <c r="J14" s="45">
        <f>Anexo_I!J14*(1+$P$1)</f>
        <v>437.7174</v>
      </c>
      <c r="K14" s="45">
        <f>Anexo_I!K14*(1+$P$1)</f>
        <v>481.49580000000003</v>
      </c>
      <c r="L14" s="45">
        <f>Anexo_I!L14*(1+$P$1)</f>
        <v>577.79939999999999</v>
      </c>
      <c r="M14" s="45">
        <f>Anexo_I!M14*(1+$P$1)</f>
        <v>693.35040000000004</v>
      </c>
    </row>
    <row r="15" spans="1:16" x14ac:dyDescent="0.25">
      <c r="A15" s="4" t="s">
        <v>14</v>
      </c>
      <c r="B15" s="2">
        <v>37457.279999999999</v>
      </c>
      <c r="C15" s="3">
        <v>0.5</v>
      </c>
      <c r="D15" s="45">
        <f>Anexo_I!D15*(1+$P$1)</f>
        <v>211.54380000000003</v>
      </c>
      <c r="E15" s="45">
        <f>Anexo_I!E15*(1+$P$1)</f>
        <v>230.8245</v>
      </c>
      <c r="F15" s="45">
        <f>Anexo_I!F15*(1+$P$1)</f>
        <v>250.10520000000002</v>
      </c>
      <c r="G15" s="45">
        <f>Anexo_I!G15*(1+$P$1)</f>
        <v>269.43029999999999</v>
      </c>
      <c r="H15" s="45">
        <f>Anexo_I!H15*(1+$P$1)</f>
        <v>288.68880000000001</v>
      </c>
      <c r="I15" s="45">
        <f>Anexo_I!I15*(1+$P$1)</f>
        <v>401.24280000000005</v>
      </c>
      <c r="J15" s="45">
        <f>Anexo_I!J15*(1+$P$1)</f>
        <v>481.49580000000003</v>
      </c>
      <c r="K15" s="45">
        <f>Anexo_I!K15*(1+$P$1)</f>
        <v>529.64760000000012</v>
      </c>
      <c r="L15" s="45">
        <f>Anexo_I!L15*(1+$P$1)</f>
        <v>635.57490000000007</v>
      </c>
      <c r="M15" s="45">
        <f>Anexo_I!M15*(1+$P$1)</f>
        <v>762.6921000000001</v>
      </c>
    </row>
    <row r="16" spans="1:16" x14ac:dyDescent="0.25">
      <c r="A16" s="4" t="s">
        <v>16</v>
      </c>
      <c r="B16" s="4">
        <v>398.82</v>
      </c>
      <c r="C16" s="3">
        <v>0.5</v>
      </c>
      <c r="D16" s="4" t="s">
        <v>15</v>
      </c>
      <c r="E16" s="4" t="s">
        <v>15</v>
      </c>
      <c r="F16" s="4" t="s">
        <v>15</v>
      </c>
      <c r="G16" s="4" t="s">
        <v>15</v>
      </c>
      <c r="H16" s="4" t="s">
        <v>15</v>
      </c>
      <c r="I16" s="4" t="s">
        <v>15</v>
      </c>
      <c r="J16" s="4" t="s">
        <v>15</v>
      </c>
      <c r="K16" s="4" t="s">
        <v>15</v>
      </c>
      <c r="L16" s="4" t="s">
        <v>15</v>
      </c>
      <c r="M16" s="4" t="s">
        <v>15</v>
      </c>
    </row>
  </sheetData>
  <sheetProtection algorithmName="SHA-512" hashValue="WYrn4YBUmsDP1D5dl7RTFNVVuxEWqFzJ+ePSpY7Rj5MZegWrhBKas6YMChOFVLdgCPMUypYs5NKakmLQqsKr7Q==" saltValue="iNtsK+Cd1f/gHL2S74ixWw==" spinCount="100000" sheet="1" objects="1" scenarios="1"/>
  <mergeCells count="5">
    <mergeCell ref="A1:M1"/>
    <mergeCell ref="A2:B3"/>
    <mergeCell ref="C2:C3"/>
    <mergeCell ref="D2:M2"/>
    <mergeCell ref="A4:A1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6F1DF-9BE2-4234-9996-9C519B5FC79C}">
  <sheetPr codeName="Planilha4"/>
  <dimension ref="A1:M16"/>
  <sheetViews>
    <sheetView workbookViewId="0">
      <selection activeCell="D4" sqref="D4"/>
    </sheetView>
  </sheetViews>
  <sheetFormatPr defaultRowHeight="15" x14ac:dyDescent="0.25"/>
  <cols>
    <col min="3" max="3" width="17.7109375" bestFit="1" customWidth="1"/>
  </cols>
  <sheetData>
    <row r="1" spans="1:13" ht="45" customHeight="1" x14ac:dyDescent="0.25">
      <c r="A1" s="230" t="s">
        <v>18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</row>
    <row r="2" spans="1:13" x14ac:dyDescent="0.25">
      <c r="A2" s="228" t="s">
        <v>12</v>
      </c>
      <c r="B2" s="228"/>
      <c r="C2" s="228" t="s">
        <v>10</v>
      </c>
      <c r="D2" s="228" t="s">
        <v>11</v>
      </c>
      <c r="E2" s="228"/>
      <c r="F2" s="228"/>
      <c r="G2" s="228"/>
      <c r="H2" s="228"/>
      <c r="I2" s="228"/>
      <c r="J2" s="228"/>
      <c r="K2" s="228"/>
      <c r="L2" s="228"/>
      <c r="M2" s="228"/>
    </row>
    <row r="3" spans="1:13" x14ac:dyDescent="0.25">
      <c r="A3" s="228"/>
      <c r="B3" s="228"/>
      <c r="C3" s="228"/>
      <c r="D3" s="1" t="s">
        <v>0</v>
      </c>
      <c r="E3" s="1" t="s">
        <v>1</v>
      </c>
      <c r="F3" s="1" t="s">
        <v>2</v>
      </c>
      <c r="G3" s="1" t="s">
        <v>3</v>
      </c>
      <c r="H3" s="1" t="s">
        <v>4</v>
      </c>
      <c r="I3" s="1" t="s">
        <v>5</v>
      </c>
      <c r="J3" s="1" t="s">
        <v>6</v>
      </c>
      <c r="K3" s="1" t="s">
        <v>7</v>
      </c>
      <c r="L3" s="1" t="s">
        <v>8</v>
      </c>
      <c r="M3" s="1" t="s">
        <v>9</v>
      </c>
    </row>
    <row r="4" spans="1:13" x14ac:dyDescent="0.25">
      <c r="A4" s="229" t="s">
        <v>13</v>
      </c>
      <c r="B4" s="2">
        <v>1456.67</v>
      </c>
      <c r="C4" s="3">
        <v>7.0000000000000007E-2</v>
      </c>
      <c r="D4" s="6">
        <v>30.88</v>
      </c>
      <c r="E4" s="6">
        <v>37.22</v>
      </c>
      <c r="F4" s="6">
        <v>42.8</v>
      </c>
      <c r="G4" s="6">
        <v>47.08</v>
      </c>
      <c r="H4" s="6">
        <v>51.79</v>
      </c>
      <c r="I4" s="6">
        <v>73.69</v>
      </c>
      <c r="J4" s="6">
        <v>88.43</v>
      </c>
      <c r="K4" s="6">
        <v>97.27</v>
      </c>
      <c r="L4" s="6">
        <v>116.72</v>
      </c>
      <c r="M4" s="6">
        <v>140.07</v>
      </c>
    </row>
    <row r="5" spans="1:13" x14ac:dyDescent="0.25">
      <c r="A5" s="229"/>
      <c r="B5" s="2">
        <v>2497.15</v>
      </c>
      <c r="C5" s="3">
        <v>0.14000000000000001</v>
      </c>
      <c r="D5" s="6">
        <v>41.02</v>
      </c>
      <c r="E5" s="6">
        <v>49.43</v>
      </c>
      <c r="F5" s="6">
        <v>56.85</v>
      </c>
      <c r="G5" s="6">
        <v>62.53</v>
      </c>
      <c r="H5" s="6">
        <v>68.78</v>
      </c>
      <c r="I5" s="6">
        <v>97.88</v>
      </c>
      <c r="J5" s="6">
        <v>117.45</v>
      </c>
      <c r="K5" s="6">
        <v>129.19999999999999</v>
      </c>
      <c r="L5" s="6">
        <v>155.03</v>
      </c>
      <c r="M5" s="6">
        <v>186.04</v>
      </c>
    </row>
    <row r="6" spans="1:13" x14ac:dyDescent="0.25">
      <c r="A6" s="229"/>
      <c r="B6" s="2">
        <v>4994.3</v>
      </c>
      <c r="C6" s="3">
        <v>0.22</v>
      </c>
      <c r="D6" s="6">
        <v>66.97</v>
      </c>
      <c r="E6" s="6">
        <v>80.7</v>
      </c>
      <c r="F6" s="6">
        <v>92.81</v>
      </c>
      <c r="G6" s="6">
        <v>102.09</v>
      </c>
      <c r="H6" s="6">
        <v>112.3</v>
      </c>
      <c r="I6" s="6">
        <v>159.80000000000001</v>
      </c>
      <c r="J6" s="6">
        <v>191.75</v>
      </c>
      <c r="K6" s="6">
        <v>210.93</v>
      </c>
      <c r="L6" s="6">
        <v>253.12</v>
      </c>
      <c r="M6" s="6">
        <v>303.74</v>
      </c>
    </row>
    <row r="7" spans="1:13" x14ac:dyDescent="0.25">
      <c r="A7" s="229"/>
      <c r="B7" s="2">
        <v>7491.46</v>
      </c>
      <c r="C7" s="3">
        <v>0.28000000000000003</v>
      </c>
      <c r="D7" s="6">
        <v>84.47</v>
      </c>
      <c r="E7" s="6">
        <v>101.79</v>
      </c>
      <c r="F7" s="6">
        <v>117.06</v>
      </c>
      <c r="G7" s="6">
        <v>128.77000000000001</v>
      </c>
      <c r="H7" s="6">
        <v>141.65</v>
      </c>
      <c r="I7" s="6">
        <v>201.56</v>
      </c>
      <c r="J7" s="6">
        <v>241.87</v>
      </c>
      <c r="K7" s="6">
        <v>266.05</v>
      </c>
      <c r="L7" s="6">
        <v>319.27</v>
      </c>
      <c r="M7" s="6">
        <v>383.12</v>
      </c>
    </row>
    <row r="8" spans="1:13" x14ac:dyDescent="0.25">
      <c r="A8" s="229"/>
      <c r="B8" s="2">
        <v>9988.61</v>
      </c>
      <c r="C8" s="3">
        <v>0.35</v>
      </c>
      <c r="D8" s="6">
        <v>95.02</v>
      </c>
      <c r="E8" s="6">
        <v>114.51</v>
      </c>
      <c r="F8" s="6">
        <v>131.68</v>
      </c>
      <c r="G8" s="6">
        <v>144.85</v>
      </c>
      <c r="H8" s="6">
        <v>159.34</v>
      </c>
      <c r="I8" s="6">
        <v>226.73</v>
      </c>
      <c r="J8" s="6">
        <v>272.08</v>
      </c>
      <c r="K8" s="6">
        <v>299.27999999999997</v>
      </c>
      <c r="L8" s="6">
        <v>359.14</v>
      </c>
      <c r="M8" s="6">
        <v>430.97</v>
      </c>
    </row>
    <row r="9" spans="1:13" x14ac:dyDescent="0.25">
      <c r="A9" s="229"/>
      <c r="B9" s="2">
        <v>14982.91</v>
      </c>
      <c r="C9" s="3">
        <v>0.39</v>
      </c>
      <c r="D9" s="6">
        <v>116.09</v>
      </c>
      <c r="E9" s="6">
        <v>139.9</v>
      </c>
      <c r="F9" s="6">
        <v>160.88999999999999</v>
      </c>
      <c r="G9" s="6">
        <v>176.98</v>
      </c>
      <c r="H9" s="6">
        <v>194.67</v>
      </c>
      <c r="I9" s="6">
        <v>277.01</v>
      </c>
      <c r="J9" s="6">
        <v>332.42</v>
      </c>
      <c r="K9" s="6">
        <v>365.66</v>
      </c>
      <c r="L9" s="6">
        <v>438.79</v>
      </c>
      <c r="M9" s="6">
        <v>526.54999999999995</v>
      </c>
    </row>
    <row r="10" spans="1:13" x14ac:dyDescent="0.25">
      <c r="A10" s="229"/>
      <c r="B10" s="2">
        <v>19977.22</v>
      </c>
      <c r="C10" s="3">
        <v>0.42</v>
      </c>
      <c r="D10" s="6">
        <v>130.66999999999999</v>
      </c>
      <c r="E10" s="6">
        <v>157.47</v>
      </c>
      <c r="F10" s="6">
        <v>181.09</v>
      </c>
      <c r="G10" s="6">
        <v>199.19</v>
      </c>
      <c r="H10" s="6">
        <v>219.11</v>
      </c>
      <c r="I10" s="6">
        <v>311.79000000000002</v>
      </c>
      <c r="J10" s="6">
        <v>374.15</v>
      </c>
      <c r="K10" s="6">
        <v>411.57</v>
      </c>
      <c r="L10" s="6">
        <v>493.88</v>
      </c>
      <c r="M10" s="6">
        <v>592.65</v>
      </c>
    </row>
    <row r="11" spans="1:13" x14ac:dyDescent="0.25">
      <c r="A11" s="229"/>
      <c r="B11" s="2">
        <v>23514.85</v>
      </c>
      <c r="C11" s="3">
        <v>0.46</v>
      </c>
      <c r="D11" s="6">
        <v>159.9</v>
      </c>
      <c r="E11" s="6">
        <v>192.54</v>
      </c>
      <c r="F11" s="6">
        <v>221.42</v>
      </c>
      <c r="G11" s="6">
        <v>243.56</v>
      </c>
      <c r="H11" s="6">
        <v>267.92</v>
      </c>
      <c r="I11" s="6">
        <v>381.24</v>
      </c>
      <c r="J11" s="6">
        <v>457.49</v>
      </c>
      <c r="K11" s="6">
        <v>503.23</v>
      </c>
      <c r="L11" s="6">
        <v>603.88</v>
      </c>
      <c r="M11" s="6">
        <v>724.66</v>
      </c>
    </row>
    <row r="12" spans="1:13" x14ac:dyDescent="0.25">
      <c r="A12" s="229"/>
      <c r="B12" s="2">
        <v>27052.48</v>
      </c>
      <c r="C12" s="3">
        <v>0.48</v>
      </c>
      <c r="D12" s="6">
        <v>175.84</v>
      </c>
      <c r="E12" s="6">
        <v>211.79</v>
      </c>
      <c r="F12" s="6">
        <v>243.56</v>
      </c>
      <c r="G12" s="6">
        <v>267.92</v>
      </c>
      <c r="H12" s="6">
        <v>294.70999999999998</v>
      </c>
      <c r="I12" s="6">
        <v>419.36</v>
      </c>
      <c r="J12" s="6">
        <v>503.23</v>
      </c>
      <c r="K12" s="6">
        <v>553.55999999999995</v>
      </c>
      <c r="L12" s="6">
        <v>664.27</v>
      </c>
      <c r="M12" s="6">
        <v>797.12</v>
      </c>
    </row>
    <row r="13" spans="1:13" x14ac:dyDescent="0.25">
      <c r="A13" s="229"/>
      <c r="B13" s="2">
        <v>31214.400000000001</v>
      </c>
      <c r="C13" s="3">
        <v>0.5</v>
      </c>
      <c r="D13" s="6">
        <v>203.51</v>
      </c>
      <c r="E13" s="6">
        <v>232.97</v>
      </c>
      <c r="F13" s="6">
        <v>267.92</v>
      </c>
      <c r="G13" s="6">
        <v>294.70999999999998</v>
      </c>
      <c r="H13" s="6">
        <v>324.18</v>
      </c>
      <c r="I13" s="6">
        <v>461.3</v>
      </c>
      <c r="J13" s="6">
        <v>553.55999999999995</v>
      </c>
      <c r="K13" s="6">
        <v>608.91</v>
      </c>
      <c r="L13" s="6">
        <v>730.7</v>
      </c>
      <c r="M13" s="6">
        <v>876.84</v>
      </c>
    </row>
    <row r="14" spans="1:13" x14ac:dyDescent="0.25">
      <c r="A14" s="229"/>
      <c r="B14" s="2">
        <v>37457.279999999999</v>
      </c>
      <c r="C14" s="3">
        <v>0.5</v>
      </c>
      <c r="D14" s="6">
        <v>244.61</v>
      </c>
      <c r="E14" s="6">
        <v>266.95999999999998</v>
      </c>
      <c r="F14" s="6">
        <v>294.70999999999998</v>
      </c>
      <c r="G14" s="6">
        <v>324.18</v>
      </c>
      <c r="H14" s="6">
        <v>356.6</v>
      </c>
      <c r="I14" s="6">
        <v>507.43</v>
      </c>
      <c r="J14" s="6">
        <v>608.91</v>
      </c>
      <c r="K14" s="6">
        <v>669.8</v>
      </c>
      <c r="L14" s="6">
        <v>803.77</v>
      </c>
      <c r="M14" s="6">
        <v>964.52</v>
      </c>
    </row>
    <row r="15" spans="1:13" x14ac:dyDescent="0.25">
      <c r="A15" s="4" t="s">
        <v>14</v>
      </c>
      <c r="B15" s="2">
        <v>37457.279999999999</v>
      </c>
      <c r="C15" s="3">
        <v>0.5</v>
      </c>
      <c r="D15" s="6">
        <v>294.27</v>
      </c>
      <c r="E15" s="6">
        <v>321.10000000000002</v>
      </c>
      <c r="F15" s="6">
        <v>347.92</v>
      </c>
      <c r="G15" s="6">
        <v>374.8</v>
      </c>
      <c r="H15" s="6">
        <v>401.59</v>
      </c>
      <c r="I15" s="6">
        <v>558.16999999999996</v>
      </c>
      <c r="J15" s="6">
        <v>669.8</v>
      </c>
      <c r="K15" s="6">
        <v>736.79</v>
      </c>
      <c r="L15" s="6">
        <v>884.14</v>
      </c>
      <c r="M15" s="6">
        <v>1060.97</v>
      </c>
    </row>
    <row r="16" spans="1:13" x14ac:dyDescent="0.25">
      <c r="A16" s="4" t="s">
        <v>16</v>
      </c>
      <c r="B16" s="4">
        <v>450</v>
      </c>
      <c r="C16" s="3">
        <v>0.5</v>
      </c>
      <c r="D16" s="4" t="s">
        <v>15</v>
      </c>
      <c r="E16" s="4" t="s">
        <v>15</v>
      </c>
      <c r="F16" s="4" t="s">
        <v>15</v>
      </c>
      <c r="G16" s="4" t="s">
        <v>15</v>
      </c>
      <c r="H16" s="4" t="s">
        <v>15</v>
      </c>
      <c r="I16" s="4" t="s">
        <v>15</v>
      </c>
      <c r="J16" s="4" t="s">
        <v>15</v>
      </c>
      <c r="K16" s="4" t="s">
        <v>15</v>
      </c>
      <c r="L16" s="4" t="s">
        <v>15</v>
      </c>
      <c r="M16" s="4" t="s">
        <v>15</v>
      </c>
    </row>
  </sheetData>
  <sheetProtection algorithmName="SHA-512" hashValue="+j8dStpApNH6TNq9eV30vbOujHXfSmAiR7ntnYp3112Rg/iKMd3o0sROTR49HZqXqMQKEpZay+s/v/sAMb9iJQ==" saltValue="zE2VdU1bakdPLl+EMPYr5g==" spinCount="100000" sheet="1" objects="1" scenarios="1"/>
  <mergeCells count="5">
    <mergeCell ref="A1:M1"/>
    <mergeCell ref="A2:B3"/>
    <mergeCell ref="C2:C3"/>
    <mergeCell ref="D2:M2"/>
    <mergeCell ref="A4:A1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Leia-me</vt:lpstr>
      <vt:lpstr>Principal</vt:lpstr>
      <vt:lpstr>Resultados</vt:lpstr>
      <vt:lpstr>Grande_Risco</vt:lpstr>
      <vt:lpstr>Pequeno_Risco</vt:lpstr>
      <vt:lpstr>Vigente</vt:lpstr>
      <vt:lpstr>Anexo_I</vt:lpstr>
      <vt:lpstr>Anexo_I_VHCM</vt:lpstr>
      <vt:lpstr>Anexo_II</vt:lpstr>
      <vt:lpstr>Anexo_II_VHCM_antes_mar</vt:lpstr>
      <vt:lpstr>Anexo_II_VHCM_depois_mar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Gustavo Baptista Marun</cp:lastModifiedBy>
  <dcterms:created xsi:type="dcterms:W3CDTF">2020-08-28T01:02:39Z</dcterms:created>
  <dcterms:modified xsi:type="dcterms:W3CDTF">2020-09-02T21:10:05Z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e61996e-cafd-4c9a-8a94-2dc1b82131ae_Enabled">
    <vt:lpwstr>true</vt:lpwstr>
  </property>
  <property fmtid="{D5CDD505-2E9C-101B-9397-08002B2CF9AE}" pid="3" name="MSIP_Label_8e61996e-cafd-4c9a-8a94-2dc1b82131ae_SetDate">
    <vt:lpwstr>2020-09-01T20:58:10Z</vt:lpwstr>
  </property>
  <property fmtid="{D5CDD505-2E9C-101B-9397-08002B2CF9AE}" pid="4" name="MSIP_Label_8e61996e-cafd-4c9a-8a94-2dc1b82131ae_Method">
    <vt:lpwstr>Standard</vt:lpwstr>
  </property>
  <property fmtid="{D5CDD505-2E9C-101B-9397-08002B2CF9AE}" pid="5" name="MSIP_Label_8e61996e-cafd-4c9a-8a94-2dc1b82131ae_Name">
    <vt:lpwstr>NP-1</vt:lpwstr>
  </property>
  <property fmtid="{D5CDD505-2E9C-101B-9397-08002B2CF9AE}" pid="6" name="MSIP_Label_8e61996e-cafd-4c9a-8a94-2dc1b82131ae_SiteId">
    <vt:lpwstr>5b6f6241-9a57-4be4-8e50-1dfa72e79a57</vt:lpwstr>
  </property>
  <property fmtid="{D5CDD505-2E9C-101B-9397-08002B2CF9AE}" pid="7" name="MSIP_Label_8e61996e-cafd-4c9a-8a94-2dc1b82131ae_ActionId">
    <vt:lpwstr>ebcb176a-b420-4217-b28a-57f85f7c8a7c</vt:lpwstr>
  </property>
  <property fmtid="{D5CDD505-2E9C-101B-9397-08002B2CF9AE}" pid="8" name="MSIP_Label_8e61996e-cafd-4c9a-8a94-2dc1b82131ae_ContentBits">
    <vt:lpwstr>0</vt:lpwstr>
  </property>
</Properties>
</file>